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GathinNR\Desktop\Updated Website calculators\"/>
    </mc:Choice>
  </mc:AlternateContent>
  <xr:revisionPtr revIDLastSave="0" documentId="8_{31691D03-85BB-48B1-AE38-0517CEB55B80}" xr6:coauthVersionLast="47" xr6:coauthVersionMax="47" xr10:uidLastSave="{00000000-0000-0000-0000-000000000000}"/>
  <bookViews>
    <workbookView xWindow="-120" yWindow="-120" windowWidth="29040" windowHeight="15720" tabRatio="771" xr2:uid="{3E30FC6C-8419-426C-A312-FB1676A39348}"/>
  </bookViews>
  <sheets>
    <sheet name="Inputs" sheetId="8" r:id="rId1"/>
    <sheet name="Output - Criteria" sheetId="13" r:id="rId2"/>
    <sheet name="Output - Drum.Toxics" sheetId="7" r:id="rId3"/>
    <sheet name="Output - Batch.Toxics" sheetId="16" r:id="rId4"/>
    <sheet name="Aggregates" sheetId="19" r:id="rId5"/>
    <sheet name="Hot Oil Heater" sheetId="4" r:id="rId6"/>
    <sheet name="LOSL.Crit" sheetId="2" r:id="rId7"/>
    <sheet name="LOSL.Tox" sheetId="6" r:id="rId8"/>
    <sheet name="Lime Silo" sheetId="3" r:id="rId9"/>
    <sheet name="Drum - Prod.Crit" sheetId="1" r:id="rId10"/>
    <sheet name="Drum - Prod.Tox" sheetId="5" r:id="rId11"/>
    <sheet name="GHG" sheetId="17" r:id="rId12"/>
    <sheet name="Batch - Prod.Crit" sheetId="14" r:id="rId13"/>
    <sheet name="Batch - Prod.Tox" sheetId="15" r:id="rId14"/>
    <sheet name="Revisions" sheetId="18" r:id="rId15"/>
  </sheets>
  <definedNames>
    <definedName name="_xlnm.Print_Area" localSheetId="12">'Batch - Prod.Crit'!$A$1:$K$20</definedName>
    <definedName name="_xlnm.Print_Area" localSheetId="13">'Batch - Prod.Tox'!$A$1:$J$45</definedName>
    <definedName name="_xlnm.Print_Area" localSheetId="9">'Drum - Prod.Crit'!$A$1:$K$20</definedName>
    <definedName name="_xlnm.Print_Area" localSheetId="10">'Drum - Prod.Tox'!$A$1:$J$56</definedName>
    <definedName name="_xlnm.Print_Area" localSheetId="11">GHG!$A$1:$J$22</definedName>
    <definedName name="_xlnm.Print_Area" localSheetId="5">'Hot Oil Heater'!$A$1:$M$18</definedName>
    <definedName name="_xlnm.Print_Area" localSheetId="0">Inputs!$A$1:$M$49</definedName>
    <definedName name="_xlnm.Print_Area" localSheetId="8">'Lime Silo'!$A$1:$J$17</definedName>
    <definedName name="_xlnm.Print_Area" localSheetId="6">LOSL.Crit!$A$1:$L$17</definedName>
    <definedName name="_xlnm.Print_Area" localSheetId="7">LOSL.Tox!$A$1:$I$55</definedName>
    <definedName name="_xlnm.Print_Area" localSheetId="3">'Output - Batch.Toxics'!$A$1:$O$65</definedName>
    <definedName name="_xlnm.Print_Area" localSheetId="2">'Output - Drum.Toxics'!$A$1:$O$73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C35" i="4" s="1"/>
  <c r="C42" i="4"/>
  <c r="J44" i="4" s="1"/>
  <c r="J45" i="4" s="1"/>
  <c r="L22" i="4"/>
  <c r="L28" i="4"/>
  <c r="L29" i="4"/>
  <c r="L36" i="4"/>
  <c r="L43" i="4"/>
  <c r="L50" i="4"/>
  <c r="L57" i="4"/>
  <c r="B6" i="1"/>
  <c r="D47" i="1"/>
  <c r="D17" i="1"/>
  <c r="C37" i="13"/>
  <c r="B6" i="2"/>
  <c r="B9" i="2"/>
  <c r="C32" i="2" s="1"/>
  <c r="D32" i="2" s="1"/>
  <c r="E32" i="2" s="1"/>
  <c r="B8" i="2"/>
  <c r="B6" i="19"/>
  <c r="B19" i="19"/>
  <c r="B17" i="19"/>
  <c r="F79" i="19" s="1"/>
  <c r="G79" i="19" s="1"/>
  <c r="D38" i="19" s="1"/>
  <c r="B20" i="19"/>
  <c r="B18" i="19"/>
  <c r="B16" i="19"/>
  <c r="O72" i="19" s="1"/>
  <c r="P72" i="19" s="1"/>
  <c r="B15" i="19"/>
  <c r="B14" i="19"/>
  <c r="B9" i="19"/>
  <c r="B10" i="19"/>
  <c r="B11" i="19"/>
  <c r="B8" i="19"/>
  <c r="B12" i="19"/>
  <c r="B13" i="19"/>
  <c r="L69" i="8"/>
  <c r="L68" i="8"/>
  <c r="G50" i="4"/>
  <c r="J36" i="4"/>
  <c r="I41" i="17"/>
  <c r="H41" i="17"/>
  <c r="G41" i="17"/>
  <c r="I40" i="17"/>
  <c r="H40" i="17"/>
  <c r="G40" i="17"/>
  <c r="I39" i="17"/>
  <c r="H39" i="17"/>
  <c r="G39" i="17"/>
  <c r="I38" i="17"/>
  <c r="H38" i="17"/>
  <c r="G38" i="17"/>
  <c r="D40" i="17"/>
  <c r="C40" i="17"/>
  <c r="D39" i="17"/>
  <c r="C39" i="17"/>
  <c r="D38" i="17"/>
  <c r="C38" i="17"/>
  <c r="B40" i="17"/>
  <c r="B39" i="17"/>
  <c r="B38" i="17"/>
  <c r="B7" i="17"/>
  <c r="I37" i="17" s="1"/>
  <c r="B6" i="17"/>
  <c r="B9" i="3"/>
  <c r="H22" i="3"/>
  <c r="B8" i="3"/>
  <c r="D22" i="3"/>
  <c r="B6" i="3"/>
  <c r="E22" i="3"/>
  <c r="E15" i="3" s="1"/>
  <c r="D53" i="13" s="1"/>
  <c r="B6" i="6"/>
  <c r="B6" i="5"/>
  <c r="O98" i="5" s="1"/>
  <c r="E51" i="4"/>
  <c r="E109" i="4"/>
  <c r="K49" i="4"/>
  <c r="L49" i="4"/>
  <c r="M49" i="4"/>
  <c r="E44" i="4"/>
  <c r="E98" i="4" s="1"/>
  <c r="J97" i="4" s="1"/>
  <c r="K42" i="4"/>
  <c r="L42" i="4"/>
  <c r="M42" i="4"/>
  <c r="E37" i="4"/>
  <c r="K35" i="4"/>
  <c r="L35" i="4"/>
  <c r="M35" i="4"/>
  <c r="E30" i="4"/>
  <c r="E71" i="4" s="1"/>
  <c r="J70" i="4" s="1"/>
  <c r="J28" i="4" s="1"/>
  <c r="J29" i="4" s="1"/>
  <c r="J30" i="4" s="1"/>
  <c r="K28" i="4"/>
  <c r="K29" i="4" s="1"/>
  <c r="M28" i="4"/>
  <c r="M29" i="4" s="1"/>
  <c r="M30" i="4" s="1"/>
  <c r="M31" i="4" s="1"/>
  <c r="B8" i="6"/>
  <c r="B7" i="6"/>
  <c r="B9" i="6" s="1"/>
  <c r="J51" i="7"/>
  <c r="B10" i="16"/>
  <c r="B10" i="7"/>
  <c r="C9" i="14"/>
  <c r="H47" i="1"/>
  <c r="F17" i="1" s="1"/>
  <c r="E37" i="13" s="1"/>
  <c r="D60" i="1"/>
  <c r="H40" i="1"/>
  <c r="I40" i="1" s="1"/>
  <c r="M22" i="4"/>
  <c r="M36" i="4"/>
  <c r="M43" i="4"/>
  <c r="M50" i="4"/>
  <c r="M57" i="4"/>
  <c r="K22" i="4"/>
  <c r="K36" i="4"/>
  <c r="J43" i="4"/>
  <c r="K50" i="4"/>
  <c r="K57" i="4"/>
  <c r="J22" i="4"/>
  <c r="J50" i="4"/>
  <c r="J57" i="4"/>
  <c r="I36" i="4"/>
  <c r="I43" i="4"/>
  <c r="I50" i="4"/>
  <c r="I57" i="4"/>
  <c r="H22" i="4"/>
  <c r="H36" i="4"/>
  <c r="H43" i="4"/>
  <c r="H50" i="4"/>
  <c r="H57" i="4"/>
  <c r="G22" i="4"/>
  <c r="G36" i="4"/>
  <c r="G43" i="4"/>
  <c r="G57" i="4"/>
  <c r="K43" i="4"/>
  <c r="K44" i="4" s="1"/>
  <c r="K45" i="4" s="1"/>
  <c r="E58" i="4"/>
  <c r="J56" i="4" s="1"/>
  <c r="E97" i="4"/>
  <c r="E92" i="4"/>
  <c r="I97" i="4"/>
  <c r="I92" i="4"/>
  <c r="I42" i="4" s="1"/>
  <c r="H97" i="4"/>
  <c r="G97" i="4"/>
  <c r="H92" i="4"/>
  <c r="H42" i="4" s="1"/>
  <c r="G92" i="4"/>
  <c r="G42" i="4" s="1"/>
  <c r="G46" i="8"/>
  <c r="I21" i="4"/>
  <c r="I22" i="4" s="1"/>
  <c r="I23" i="4" s="1"/>
  <c r="I70" i="4"/>
  <c r="I28" i="4" s="1"/>
  <c r="I29" i="4" s="1"/>
  <c r="I30" i="4" s="1"/>
  <c r="I31" i="4" s="1"/>
  <c r="H70" i="4"/>
  <c r="H28" i="4" s="1"/>
  <c r="H29" i="4"/>
  <c r="G70" i="4"/>
  <c r="G28" i="4"/>
  <c r="G29" i="4" s="1"/>
  <c r="G30" i="4" s="1"/>
  <c r="G31" i="4" s="1"/>
  <c r="I81" i="4"/>
  <c r="I35" i="4" s="1"/>
  <c r="G48" i="8"/>
  <c r="G47" i="8"/>
  <c r="G45" i="8"/>
  <c r="G44" i="8"/>
  <c r="I86" i="4"/>
  <c r="I75" i="4"/>
  <c r="G43" i="8"/>
  <c r="B6" i="14"/>
  <c r="C9" i="1"/>
  <c r="E108" i="4"/>
  <c r="E103" i="4"/>
  <c r="E86" i="4"/>
  <c r="E81" i="4"/>
  <c r="E75" i="4"/>
  <c r="E70" i="4"/>
  <c r="H81" i="4"/>
  <c r="H35" i="4"/>
  <c r="G81" i="4"/>
  <c r="G35" i="4" s="1"/>
  <c r="H56" i="4"/>
  <c r="G56" i="4"/>
  <c r="H86" i="4"/>
  <c r="G86" i="4"/>
  <c r="H75" i="4"/>
  <c r="G75" i="4"/>
  <c r="O65" i="7"/>
  <c r="O61" i="7"/>
  <c r="O60" i="7"/>
  <c r="G69" i="5"/>
  <c r="G99" i="5"/>
  <c r="N99" i="5"/>
  <c r="O99" i="5" s="1"/>
  <c r="G82" i="5"/>
  <c r="G68" i="5"/>
  <c r="H68" i="5" s="1"/>
  <c r="G43" i="5" s="1"/>
  <c r="G52" i="7" s="1"/>
  <c r="N68" i="5"/>
  <c r="O49" i="7"/>
  <c r="G66" i="5"/>
  <c r="O45" i="7"/>
  <c r="O43" i="7"/>
  <c r="O42" i="7"/>
  <c r="O39" i="7"/>
  <c r="O38" i="7"/>
  <c r="O35" i="7"/>
  <c r="O34" i="7"/>
  <c r="G63" i="5"/>
  <c r="O31" i="7"/>
  <c r="O30" i="7"/>
  <c r="O29" i="7"/>
  <c r="O28" i="7"/>
  <c r="O27" i="7"/>
  <c r="O26" i="7"/>
  <c r="G62" i="5"/>
  <c r="O23" i="7"/>
  <c r="O20" i="7"/>
  <c r="O19" i="7"/>
  <c r="O18" i="7"/>
  <c r="N103" i="5"/>
  <c r="G81" i="5"/>
  <c r="M65" i="7"/>
  <c r="M61" i="7"/>
  <c r="M60" i="7"/>
  <c r="M49" i="7"/>
  <c r="M45" i="7"/>
  <c r="M43" i="7"/>
  <c r="M42" i="7"/>
  <c r="M39" i="7"/>
  <c r="M38" i="7"/>
  <c r="M35" i="7"/>
  <c r="M34" i="7"/>
  <c r="M31" i="7"/>
  <c r="M30" i="7"/>
  <c r="M29" i="7"/>
  <c r="M28" i="7"/>
  <c r="M27" i="7"/>
  <c r="M26" i="7"/>
  <c r="M23" i="7"/>
  <c r="M20" i="7"/>
  <c r="M19" i="7"/>
  <c r="M18" i="7"/>
  <c r="B6" i="15"/>
  <c r="O57" i="16"/>
  <c r="O55" i="16"/>
  <c r="O54" i="16"/>
  <c r="O44" i="16"/>
  <c r="O40" i="16"/>
  <c r="O39" i="16"/>
  <c r="O36" i="16"/>
  <c r="O34" i="16"/>
  <c r="O33" i="16"/>
  <c r="O29" i="16"/>
  <c r="O28" i="16"/>
  <c r="O27" i="16"/>
  <c r="O26" i="16"/>
  <c r="O25" i="16"/>
  <c r="O24" i="16"/>
  <c r="O21" i="16"/>
  <c r="O19" i="16"/>
  <c r="O18" i="16"/>
  <c r="O17" i="16"/>
  <c r="M57" i="16"/>
  <c r="M55" i="16"/>
  <c r="M54" i="16"/>
  <c r="M44" i="16"/>
  <c r="M40" i="16"/>
  <c r="M39" i="16"/>
  <c r="M36" i="16"/>
  <c r="M34" i="16"/>
  <c r="M33" i="16"/>
  <c r="M29" i="16"/>
  <c r="M28" i="16"/>
  <c r="M27" i="16"/>
  <c r="M26" i="16"/>
  <c r="M25" i="16"/>
  <c r="M24" i="16"/>
  <c r="M21" i="16"/>
  <c r="M19" i="16"/>
  <c r="M18" i="16"/>
  <c r="M17" i="16"/>
  <c r="J30" i="16"/>
  <c r="K30" i="16" s="1"/>
  <c r="L30" i="16"/>
  <c r="J46" i="16"/>
  <c r="K46" i="16" s="1"/>
  <c r="F91" i="15"/>
  <c r="G102" i="5"/>
  <c r="N102" i="5"/>
  <c r="G101" i="5"/>
  <c r="H101" i="5" s="1"/>
  <c r="N101" i="5"/>
  <c r="O101" i="5" s="1"/>
  <c r="G100" i="5"/>
  <c r="H100" i="5" s="1"/>
  <c r="G47" i="5" s="1"/>
  <c r="G98" i="5"/>
  <c r="H98" i="5" s="1"/>
  <c r="G39" i="5" s="1"/>
  <c r="G97" i="5"/>
  <c r="N97" i="5"/>
  <c r="G96" i="5"/>
  <c r="G95" i="5"/>
  <c r="G94" i="5"/>
  <c r="H94" i="5" s="1"/>
  <c r="G25" i="5" s="1"/>
  <c r="G93" i="5"/>
  <c r="G92" i="5"/>
  <c r="G91" i="5"/>
  <c r="G90" i="5"/>
  <c r="G89" i="5"/>
  <c r="G88" i="5"/>
  <c r="N88" i="5"/>
  <c r="O88" i="5" s="1"/>
  <c r="G87" i="5"/>
  <c r="N87" i="5"/>
  <c r="G86" i="5"/>
  <c r="G85" i="5"/>
  <c r="N81" i="5"/>
  <c r="N86" i="5"/>
  <c r="N90" i="5"/>
  <c r="O90" i="5" s="1"/>
  <c r="N62" i="5"/>
  <c r="N89" i="5"/>
  <c r="N91" i="5"/>
  <c r="N92" i="5"/>
  <c r="N93" i="5"/>
  <c r="N94" i="5"/>
  <c r="N63" i="5"/>
  <c r="O63" i="5" s="1"/>
  <c r="N95" i="5"/>
  <c r="O95" i="5" s="1"/>
  <c r="N96" i="5"/>
  <c r="N66" i="5"/>
  <c r="O66" i="5" s="1"/>
  <c r="N98" i="5"/>
  <c r="N82" i="5"/>
  <c r="N69" i="5"/>
  <c r="N100" i="5"/>
  <c r="O100" i="5" s="1"/>
  <c r="V81" i="5"/>
  <c r="G52" i="5" s="1"/>
  <c r="G66" i="7"/>
  <c r="O93" i="5"/>
  <c r="O77" i="5"/>
  <c r="O103" i="5"/>
  <c r="G11" i="5" s="1"/>
  <c r="G17" i="7"/>
  <c r="D41" i="1"/>
  <c r="E41" i="1" s="1"/>
  <c r="X39" i="1"/>
  <c r="H70" i="5"/>
  <c r="G53" i="5" s="1"/>
  <c r="G67" i="7" s="1"/>
  <c r="H81" i="5"/>
  <c r="G40" i="5"/>
  <c r="H80" i="5"/>
  <c r="G36" i="5" s="1"/>
  <c r="O69" i="5"/>
  <c r="H60" i="1"/>
  <c r="I60" i="1" s="1"/>
  <c r="P41" i="1"/>
  <c r="L41" i="1"/>
  <c r="M41" i="1" s="1"/>
  <c r="H41" i="1"/>
  <c r="I41" i="1"/>
  <c r="L60" i="1"/>
  <c r="F19" i="1" s="1"/>
  <c r="E39" i="13" s="1"/>
  <c r="E19" i="13" s="1"/>
  <c r="P60" i="1"/>
  <c r="P40" i="1"/>
  <c r="H25" i="1"/>
  <c r="F12" i="1" s="1"/>
  <c r="E32" i="13" s="1"/>
  <c r="H32" i="1"/>
  <c r="F14" i="1" s="1"/>
  <c r="E34" i="13" s="1"/>
  <c r="I36" i="17"/>
  <c r="C31" i="2"/>
  <c r="D31" i="2" s="1"/>
  <c r="B12" i="6" s="1"/>
  <c r="E93" i="4"/>
  <c r="J92" i="4" s="1"/>
  <c r="J42" i="4" s="1"/>
  <c r="H46" i="14"/>
  <c r="F17" i="14" s="1"/>
  <c r="C41" i="17"/>
  <c r="O85" i="5"/>
  <c r="O62" i="5"/>
  <c r="H66" i="5"/>
  <c r="G37" i="5" s="1"/>
  <c r="G47" i="7" s="1"/>
  <c r="M47" i="7" s="1"/>
  <c r="O47" i="7" s="1"/>
  <c r="D36" i="17"/>
  <c r="D26" i="1"/>
  <c r="D13" i="1" s="1"/>
  <c r="C33" i="13" s="1"/>
  <c r="T41" i="1"/>
  <c r="T39" i="1"/>
  <c r="G37" i="17"/>
  <c r="D18" i="17" s="1"/>
  <c r="E18" i="17" s="1"/>
  <c r="D71" i="13" s="1"/>
  <c r="H40" i="14"/>
  <c r="I40" i="14"/>
  <c r="L79" i="19"/>
  <c r="H39" i="1"/>
  <c r="I39" i="1" s="1"/>
  <c r="X40" i="1"/>
  <c r="L40" i="1"/>
  <c r="M40" i="1"/>
  <c r="D53" i="1"/>
  <c r="D40" i="1"/>
  <c r="D16" i="1"/>
  <c r="C36" i="13" s="1"/>
  <c r="H53" i="1"/>
  <c r="F18" i="1" s="1"/>
  <c r="G30" i="2"/>
  <c r="H30" i="2"/>
  <c r="O70" i="15"/>
  <c r="I71" i="19"/>
  <c r="J71" i="19" s="1"/>
  <c r="D36" i="19" s="1"/>
  <c r="P39" i="1"/>
  <c r="F15" i="1" s="1"/>
  <c r="E35" i="13" s="1"/>
  <c r="H26" i="1"/>
  <c r="H91" i="5"/>
  <c r="G22" i="5" s="1"/>
  <c r="O81" i="5"/>
  <c r="P65" i="19"/>
  <c r="F32" i="19"/>
  <c r="L60" i="14"/>
  <c r="D39" i="1"/>
  <c r="E39" i="1" s="1"/>
  <c r="E15" i="1" s="1"/>
  <c r="D35" i="13" s="1"/>
  <c r="L39" i="1"/>
  <c r="M39" i="1" s="1"/>
  <c r="D32" i="1"/>
  <c r="D14" i="1" s="1"/>
  <c r="X41" i="1"/>
  <c r="T40" i="1"/>
  <c r="L39" i="14"/>
  <c r="D25" i="1"/>
  <c r="D12" i="1" s="1"/>
  <c r="C32" i="13" s="1"/>
  <c r="O65" i="5"/>
  <c r="O87" i="5"/>
  <c r="H78" i="5"/>
  <c r="G31" i="5" s="1"/>
  <c r="O80" i="5"/>
  <c r="O96" i="5"/>
  <c r="C34" i="13"/>
  <c r="E32" i="1"/>
  <c r="E14" i="1" s="1"/>
  <c r="D34" i="13" s="1"/>
  <c r="F13" i="1"/>
  <c r="E33" i="13"/>
  <c r="R72" i="19"/>
  <c r="S72" i="19" s="1"/>
  <c r="L71" i="19"/>
  <c r="M71" i="19"/>
  <c r="G58" i="19"/>
  <c r="H58" i="19" s="1"/>
  <c r="E25" i="1"/>
  <c r="E12" i="1" s="1"/>
  <c r="D32" i="13" s="1"/>
  <c r="O67" i="15"/>
  <c r="O74" i="15"/>
  <c r="H73" i="15"/>
  <c r="O86" i="15"/>
  <c r="O75" i="15"/>
  <c r="P60" i="14"/>
  <c r="F19" i="14"/>
  <c r="D60" i="14"/>
  <c r="E60" i="14" s="1"/>
  <c r="H39" i="14"/>
  <c r="P40" i="14"/>
  <c r="P39" i="14"/>
  <c r="D25" i="14"/>
  <c r="D12" i="14" s="1"/>
  <c r="L53" i="14"/>
  <c r="E60" i="1"/>
  <c r="E19" i="1" s="1"/>
  <c r="D39" i="13" s="1"/>
  <c r="D19" i="13" s="1"/>
  <c r="E82" i="4"/>
  <c r="J81" i="4" s="1"/>
  <c r="J35" i="4" s="1"/>
  <c r="E87" i="4"/>
  <c r="J86" i="4" s="1"/>
  <c r="M59" i="19"/>
  <c r="C23" i="2"/>
  <c r="D23" i="2" s="1"/>
  <c r="B11" i="6" s="1"/>
  <c r="E23" i="2"/>
  <c r="L72" i="19"/>
  <c r="M72" i="19"/>
  <c r="O71" i="19"/>
  <c r="C71" i="19"/>
  <c r="D71" i="19"/>
  <c r="E71" i="19" s="1"/>
  <c r="F72" i="19"/>
  <c r="G59" i="19"/>
  <c r="D29" i="19" s="1"/>
  <c r="H59" i="19"/>
  <c r="O68" i="5"/>
  <c r="O92" i="5"/>
  <c r="H95" i="5"/>
  <c r="G28" i="5" s="1"/>
  <c r="O105" i="5"/>
  <c r="G35" i="5" s="1"/>
  <c r="G45" i="7"/>
  <c r="H45" i="7" s="1"/>
  <c r="O104" i="5"/>
  <c r="G30" i="5" s="1"/>
  <c r="G39" i="7" s="1"/>
  <c r="O83" i="5"/>
  <c r="H65" i="5"/>
  <c r="G29" i="5" s="1"/>
  <c r="G36" i="7" s="1"/>
  <c r="V80" i="5"/>
  <c r="G50" i="5" s="1"/>
  <c r="G64" i="7" s="1"/>
  <c r="H64" i="7" s="1"/>
  <c r="H64" i="5"/>
  <c r="G27" i="5" s="1"/>
  <c r="G34" i="7" s="1"/>
  <c r="J34" i="7" s="1"/>
  <c r="O64" i="5"/>
  <c r="H37" i="17"/>
  <c r="J49" i="19"/>
  <c r="K49" i="19" s="1"/>
  <c r="J57" i="19"/>
  <c r="K57" i="19" s="1"/>
  <c r="J50" i="19"/>
  <c r="K50" i="19" s="1"/>
  <c r="E27" i="19" s="1"/>
  <c r="E25" i="14"/>
  <c r="E12" i="14" s="1"/>
  <c r="E38" i="13"/>
  <c r="D18" i="1"/>
  <c r="C38" i="13" s="1"/>
  <c r="E53" i="1"/>
  <c r="E18" i="1" s="1"/>
  <c r="D38" i="13" s="1"/>
  <c r="H97" i="5"/>
  <c r="O82" i="5"/>
  <c r="H89" i="5"/>
  <c r="G20" i="5" s="1"/>
  <c r="O91" i="5"/>
  <c r="O79" i="5"/>
  <c r="H102" i="5"/>
  <c r="O89" i="5"/>
  <c r="O84" i="5"/>
  <c r="V78" i="5"/>
  <c r="G16" i="5" s="1"/>
  <c r="G22" i="7" s="1"/>
  <c r="H77" i="5"/>
  <c r="G19" i="5" s="1"/>
  <c r="H93" i="5"/>
  <c r="G24" i="5" s="1"/>
  <c r="H84" i="5"/>
  <c r="G55" i="5"/>
  <c r="O67" i="5"/>
  <c r="H90" i="5"/>
  <c r="G21" i="5"/>
  <c r="H85" i="5"/>
  <c r="G12" i="5" s="1"/>
  <c r="H36" i="17"/>
  <c r="D19" i="17"/>
  <c r="C72" i="13" s="1"/>
  <c r="E19" i="17"/>
  <c r="D72" i="13" s="1"/>
  <c r="G36" i="17"/>
  <c r="H88" i="15"/>
  <c r="H68" i="15"/>
  <c r="D58" i="19"/>
  <c r="E58" i="19" s="1"/>
  <c r="G57" i="19"/>
  <c r="H57" i="19"/>
  <c r="H81" i="15"/>
  <c r="H56" i="15"/>
  <c r="G35" i="15" s="1"/>
  <c r="G47" i="16" s="1"/>
  <c r="M47" i="16" s="1"/>
  <c r="O47" i="16" s="1"/>
  <c r="O80" i="15"/>
  <c r="O71" i="15"/>
  <c r="H86" i="15"/>
  <c r="G36" i="15" s="1"/>
  <c r="H83" i="15"/>
  <c r="G29" i="15"/>
  <c r="O83" i="15"/>
  <c r="O85" i="15"/>
  <c r="G33" i="15" s="1"/>
  <c r="H55" i="15"/>
  <c r="G34" i="15" s="1"/>
  <c r="G45" i="16" s="1"/>
  <c r="P57" i="19"/>
  <c r="K71" i="19"/>
  <c r="E36" i="19" s="1"/>
  <c r="M57" i="19"/>
  <c r="D57" i="19"/>
  <c r="G49" i="19"/>
  <c r="H49" i="19" s="1"/>
  <c r="P71" i="19"/>
  <c r="S49" i="19"/>
  <c r="S57" i="19"/>
  <c r="H25" i="14"/>
  <c r="F12" i="14" s="1"/>
  <c r="D39" i="14"/>
  <c r="P53" i="14"/>
  <c r="F18" i="14" s="1"/>
  <c r="D46" i="14"/>
  <c r="H60" i="14"/>
  <c r="I60" i="14"/>
  <c r="E19" i="14" s="1"/>
  <c r="H32" i="14"/>
  <c r="H26" i="14"/>
  <c r="F13" i="14" s="1"/>
  <c r="D40" i="14"/>
  <c r="E40" i="14" s="1"/>
  <c r="E16" i="14" s="1"/>
  <c r="H53" i="14"/>
  <c r="I53" i="14" s="1"/>
  <c r="L51" i="7"/>
  <c r="K51" i="7"/>
  <c r="B41" i="17"/>
  <c r="D37" i="17"/>
  <c r="P49" i="19"/>
  <c r="H87" i="15"/>
  <c r="O79" i="15"/>
  <c r="H50" i="15"/>
  <c r="G16" i="15" s="1"/>
  <c r="G22" i="16" s="1"/>
  <c r="H22" i="16"/>
  <c r="O65" i="15"/>
  <c r="O73" i="15"/>
  <c r="G12" i="15" s="1"/>
  <c r="H65" i="15"/>
  <c r="M49" i="19"/>
  <c r="S58" i="19"/>
  <c r="O97" i="5"/>
  <c r="G33" i="5" s="1"/>
  <c r="H92" i="5"/>
  <c r="G23" i="5" s="1"/>
  <c r="G72" i="19"/>
  <c r="H72" i="19" s="1"/>
  <c r="F71" i="19"/>
  <c r="G71" i="19"/>
  <c r="D50" i="19"/>
  <c r="E50" i="19"/>
  <c r="D49" i="19"/>
  <c r="E49" i="19" s="1"/>
  <c r="B10" i="6"/>
  <c r="J75" i="6"/>
  <c r="D32" i="14"/>
  <c r="D26" i="14"/>
  <c r="O82" i="15"/>
  <c r="O66" i="15"/>
  <c r="O76" i="15"/>
  <c r="O77" i="15"/>
  <c r="H70" i="15"/>
  <c r="H85" i="15"/>
  <c r="P50" i="19"/>
  <c r="V77" i="5"/>
  <c r="G15" i="5"/>
  <c r="G21" i="7" s="1"/>
  <c r="H63" i="5"/>
  <c r="G26" i="5" s="1"/>
  <c r="G32" i="7" s="1"/>
  <c r="O86" i="5"/>
  <c r="H87" i="5"/>
  <c r="G14" i="5" s="1"/>
  <c r="H99" i="5"/>
  <c r="G45" i="5" s="1"/>
  <c r="M51" i="19"/>
  <c r="L40" i="14"/>
  <c r="F16" i="14" s="1"/>
  <c r="O102" i="5"/>
  <c r="G51" i="5" s="1"/>
  <c r="H96" i="5"/>
  <c r="G32" i="5" s="1"/>
  <c r="C79" i="19"/>
  <c r="D79" i="19" s="1"/>
  <c r="E79" i="19" s="1"/>
  <c r="C72" i="19"/>
  <c r="D72" i="19" s="1"/>
  <c r="E72" i="19" s="1"/>
  <c r="C37" i="17"/>
  <c r="D53" i="14"/>
  <c r="H88" i="5"/>
  <c r="G17" i="5" s="1"/>
  <c r="H86" i="5"/>
  <c r="G13" i="5"/>
  <c r="H69" i="5"/>
  <c r="G46" i="5"/>
  <c r="G58" i="7" s="1"/>
  <c r="J58" i="7"/>
  <c r="D18" i="14"/>
  <c r="E53" i="14"/>
  <c r="E18" i="14" s="1"/>
  <c r="D17" i="14"/>
  <c r="E46" i="14"/>
  <c r="E17" i="14" s="1"/>
  <c r="H47" i="16"/>
  <c r="G48" i="5"/>
  <c r="J78" i="6"/>
  <c r="J77" i="6"/>
  <c r="J76" i="6"/>
  <c r="F14" i="14"/>
  <c r="E39" i="14"/>
  <c r="M66" i="7"/>
  <c r="O66" i="7" s="1"/>
  <c r="H34" i="7"/>
  <c r="K34" i="7"/>
  <c r="I72" i="19"/>
  <c r="J72" i="19"/>
  <c r="K72" i="19" s="1"/>
  <c r="O79" i="19"/>
  <c r="P79" i="19" s="1"/>
  <c r="F38" i="19" s="1"/>
  <c r="C24" i="2"/>
  <c r="D24" i="2"/>
  <c r="D19" i="1"/>
  <c r="C39" i="13" s="1"/>
  <c r="C19" i="13" s="1"/>
  <c r="G37" i="4"/>
  <c r="G38" i="4" s="1"/>
  <c r="F16" i="1"/>
  <c r="E36" i="13"/>
  <c r="M58" i="19"/>
  <c r="F28" i="19"/>
  <c r="H44" i="4"/>
  <c r="H45" i="4" s="1"/>
  <c r="M44" i="4"/>
  <c r="G44" i="4"/>
  <c r="G45" i="4" s="1"/>
  <c r="L44" i="4"/>
  <c r="L45" i="4"/>
  <c r="I44" i="4"/>
  <c r="E13" i="4" s="1"/>
  <c r="C66" i="13" s="1"/>
  <c r="J47" i="7"/>
  <c r="K47" i="7" s="1"/>
  <c r="H47" i="7"/>
  <c r="M64" i="7"/>
  <c r="O64" i="7" s="1"/>
  <c r="J64" i="7"/>
  <c r="K64" i="7" s="1"/>
  <c r="D14" i="3"/>
  <c r="C52" i="13"/>
  <c r="D16" i="3"/>
  <c r="C54" i="13"/>
  <c r="D15" i="3"/>
  <c r="C53" i="13" s="1"/>
  <c r="H79" i="19"/>
  <c r="E38" i="19" s="1"/>
  <c r="F34" i="19"/>
  <c r="M52" i="7"/>
  <c r="O52" i="7" s="1"/>
  <c r="J52" i="7"/>
  <c r="K52" i="7" s="1"/>
  <c r="H108" i="4"/>
  <c r="G108" i="4"/>
  <c r="J108" i="4"/>
  <c r="I108" i="4"/>
  <c r="S51" i="19"/>
  <c r="D59" i="19"/>
  <c r="E59" i="19"/>
  <c r="G65" i="19"/>
  <c r="S50" i="19"/>
  <c r="S59" i="19"/>
  <c r="F30" i="19"/>
  <c r="J51" i="19"/>
  <c r="K51" i="19"/>
  <c r="G24" i="2"/>
  <c r="H24" i="2" s="1"/>
  <c r="E47" i="1"/>
  <c r="E17" i="1" s="1"/>
  <c r="D37" i="13" s="1"/>
  <c r="I37" i="4"/>
  <c r="I38" i="4" s="1"/>
  <c r="E26" i="1"/>
  <c r="E13" i="1" s="1"/>
  <c r="D33" i="13" s="1"/>
  <c r="E40" i="1"/>
  <c r="E16" i="1"/>
  <c r="D36" i="13" s="1"/>
  <c r="D51" i="19"/>
  <c r="E16" i="3"/>
  <c r="D54" i="13" s="1"/>
  <c r="G23" i="2"/>
  <c r="H23" i="2" s="1"/>
  <c r="D65" i="19"/>
  <c r="C22" i="2"/>
  <c r="D22" i="2"/>
  <c r="L46" i="16"/>
  <c r="E104" i="4"/>
  <c r="E14" i="3"/>
  <c r="D52" i="13" s="1"/>
  <c r="I22" i="3"/>
  <c r="P51" i="19"/>
  <c r="F26" i="19"/>
  <c r="C56" i="4"/>
  <c r="C28" i="4"/>
  <c r="C21" i="4"/>
  <c r="J23" i="4" s="1"/>
  <c r="J59" i="19"/>
  <c r="K59" i="19" s="1"/>
  <c r="J61" i="6"/>
  <c r="J69" i="6"/>
  <c r="J71" i="6"/>
  <c r="M79" i="19"/>
  <c r="S65" i="19"/>
  <c r="F33" i="19" s="1"/>
  <c r="M50" i="19"/>
  <c r="F25" i="19" s="1"/>
  <c r="J58" i="19"/>
  <c r="M65" i="19"/>
  <c r="F31" i="19" s="1"/>
  <c r="G22" i="2"/>
  <c r="H22" i="2" s="1"/>
  <c r="F14" i="2" s="1"/>
  <c r="E46" i="13"/>
  <c r="G32" i="2"/>
  <c r="H32" i="2" s="1"/>
  <c r="C49" i="4"/>
  <c r="J68" i="6"/>
  <c r="J74" i="6"/>
  <c r="G51" i="19"/>
  <c r="H51" i="19" s="1"/>
  <c r="P58" i="19"/>
  <c r="P59" i="19"/>
  <c r="J65" i="19"/>
  <c r="G50" i="19"/>
  <c r="D26" i="19" s="1"/>
  <c r="G31" i="2"/>
  <c r="H31" i="2" s="1"/>
  <c r="C30" i="2"/>
  <c r="D30" i="2"/>
  <c r="E30" i="2" s="1"/>
  <c r="E37" i="19"/>
  <c r="D37" i="19"/>
  <c r="J22" i="16"/>
  <c r="M22" i="7"/>
  <c r="O22" i="7" s="1"/>
  <c r="E34" i="19"/>
  <c r="D34" i="19"/>
  <c r="J21" i="7"/>
  <c r="K21" i="7" s="1"/>
  <c r="D13" i="14"/>
  <c r="E26" i="14"/>
  <c r="E13" i="14"/>
  <c r="J47" i="16"/>
  <c r="K47" i="16" s="1"/>
  <c r="D15" i="2"/>
  <c r="C47" i="13" s="1"/>
  <c r="D19" i="14"/>
  <c r="M45" i="4"/>
  <c r="J86" i="6"/>
  <c r="I61" i="6"/>
  <c r="K61" i="6" s="1"/>
  <c r="G20" i="6" s="1"/>
  <c r="J58" i="4"/>
  <c r="J59" i="4"/>
  <c r="G58" i="4"/>
  <c r="G59" i="4" s="1"/>
  <c r="K58" i="4"/>
  <c r="K59" i="4"/>
  <c r="I58" i="4"/>
  <c r="I59" i="4"/>
  <c r="H58" i="4"/>
  <c r="H59" i="4" s="1"/>
  <c r="M58" i="4"/>
  <c r="M59" i="4"/>
  <c r="Q79" i="19"/>
  <c r="G38" i="19" s="1"/>
  <c r="J103" i="4"/>
  <c r="J49" i="4"/>
  <c r="H50" i="19"/>
  <c r="E26" i="19" s="1"/>
  <c r="H30" i="4"/>
  <c r="H31" i="4"/>
  <c r="D31" i="19"/>
  <c r="E65" i="19"/>
  <c r="E31" i="19" s="1"/>
  <c r="K30" i="4"/>
  <c r="K31" i="4" s="1"/>
  <c r="L58" i="4"/>
  <c r="L59" i="4"/>
  <c r="J96" i="6"/>
  <c r="J88" i="6"/>
  <c r="J85" i="6"/>
  <c r="J101" i="6"/>
  <c r="K58" i="19"/>
  <c r="D30" i="19"/>
  <c r="L23" i="4"/>
  <c r="H23" i="4"/>
  <c r="G23" i="4"/>
  <c r="K23" i="4"/>
  <c r="K24" i="4" s="1"/>
  <c r="M23" i="4"/>
  <c r="M24" i="4" s="1"/>
  <c r="E51" i="19"/>
  <c r="E25" i="19"/>
  <c r="D25" i="19"/>
  <c r="D32" i="19"/>
  <c r="H65" i="19"/>
  <c r="E32" i="19"/>
  <c r="K65" i="19"/>
  <c r="E33" i="19" s="1"/>
  <c r="D33" i="19"/>
  <c r="K51" i="4"/>
  <c r="K52" i="4" s="1"/>
  <c r="M51" i="4"/>
  <c r="M52" i="4" s="1"/>
  <c r="I51" i="4"/>
  <c r="I52" i="4" s="1"/>
  <c r="F27" i="19"/>
  <c r="L30" i="4"/>
  <c r="L31" i="4" s="1"/>
  <c r="K22" i="16"/>
  <c r="I100" i="6"/>
  <c r="I94" i="6"/>
  <c r="I88" i="6"/>
  <c r="K88" i="6" s="1"/>
  <c r="G30" i="6" s="1"/>
  <c r="G33" i="7" s="1"/>
  <c r="J33" i="7" s="1"/>
  <c r="I97" i="6"/>
  <c r="I87" i="6"/>
  <c r="I98" i="6"/>
  <c r="K98" i="6" s="1"/>
  <c r="G52" i="6" s="1"/>
  <c r="I85" i="6"/>
  <c r="K85" i="6" s="1"/>
  <c r="G22" i="6" s="1"/>
  <c r="I89" i="6"/>
  <c r="I92" i="6"/>
  <c r="I95" i="6"/>
  <c r="I91" i="6"/>
  <c r="K91" i="6"/>
  <c r="G34" i="6" s="1"/>
  <c r="G35" i="16" s="1"/>
  <c r="M35" i="16" s="1"/>
  <c r="O35" i="16" s="1"/>
  <c r="I99" i="6"/>
  <c r="G20" i="7"/>
  <c r="G24" i="4"/>
  <c r="I24" i="4"/>
  <c r="J24" i="4"/>
  <c r="L24" i="4"/>
  <c r="J20" i="7" l="1"/>
  <c r="H20" i="7"/>
  <c r="J39" i="7"/>
  <c r="H39" i="7"/>
  <c r="K33" i="7"/>
  <c r="D60" i="13"/>
  <c r="E57" i="19"/>
  <c r="D28" i="19"/>
  <c r="C58" i="13" s="1"/>
  <c r="H24" i="4"/>
  <c r="F12" i="4" s="1"/>
  <c r="D65" i="13" s="1"/>
  <c r="G25" i="7"/>
  <c r="F16" i="2"/>
  <c r="E48" i="13" s="1"/>
  <c r="E17" i="13" s="1"/>
  <c r="K58" i="7"/>
  <c r="F16" i="4"/>
  <c r="D69" i="13" s="1"/>
  <c r="D8" i="13" s="1"/>
  <c r="I75" i="6"/>
  <c r="K75" i="6" s="1"/>
  <c r="G44" i="6" s="1"/>
  <c r="I77" i="6"/>
  <c r="K77" i="6" s="1"/>
  <c r="G47" i="6" s="1"/>
  <c r="I64" i="6"/>
  <c r="K64" i="6" s="1"/>
  <c r="G25" i="6" s="1"/>
  <c r="I76" i="6"/>
  <c r="K76" i="6" s="1"/>
  <c r="G46" i="6" s="1"/>
  <c r="I79" i="6"/>
  <c r="K79" i="6" s="1"/>
  <c r="G48" i="6" s="1"/>
  <c r="I72" i="6"/>
  <c r="I71" i="6"/>
  <c r="K71" i="6" s="1"/>
  <c r="G37" i="6" s="1"/>
  <c r="I66" i="6"/>
  <c r="K66" i="6" s="1"/>
  <c r="G27" i="6" s="1"/>
  <c r="I68" i="6"/>
  <c r="K68" i="6" s="1"/>
  <c r="G26" i="6" s="1"/>
  <c r="I62" i="6"/>
  <c r="I65" i="6"/>
  <c r="K65" i="6" s="1"/>
  <c r="G28" i="6" s="1"/>
  <c r="I60" i="6"/>
  <c r="I69" i="6"/>
  <c r="K69" i="6" s="1"/>
  <c r="G33" i="6" s="1"/>
  <c r="I67" i="6"/>
  <c r="K67" i="6" s="1"/>
  <c r="G24" i="6" s="1"/>
  <c r="E30" i="19"/>
  <c r="J32" i="7"/>
  <c r="H32" i="7"/>
  <c r="M32" i="7"/>
  <c r="O32" i="7" s="1"/>
  <c r="J95" i="6"/>
  <c r="K95" i="6" s="1"/>
  <c r="G42" i="6" s="1"/>
  <c r="J90" i="6"/>
  <c r="J94" i="6"/>
  <c r="J99" i="6"/>
  <c r="J87" i="6"/>
  <c r="K87" i="6" s="1"/>
  <c r="G17" i="6" s="1"/>
  <c r="J92" i="6"/>
  <c r="J100" i="6"/>
  <c r="K100" i="6" s="1"/>
  <c r="G54" i="6" s="1"/>
  <c r="J93" i="6"/>
  <c r="J97" i="6"/>
  <c r="K97" i="6" s="1"/>
  <c r="G51" i="6" s="1"/>
  <c r="J89" i="6"/>
  <c r="K89" i="6" s="1"/>
  <c r="G31" i="6" s="1"/>
  <c r="I45" i="4"/>
  <c r="H22" i="7"/>
  <c r="J22" i="7"/>
  <c r="J31" i="4"/>
  <c r="F14" i="4" s="1"/>
  <c r="D67" i="13" s="1"/>
  <c r="D15" i="13" s="1"/>
  <c r="E14" i="4"/>
  <c r="C67" i="13" s="1"/>
  <c r="E15" i="13" s="1"/>
  <c r="M58" i="7"/>
  <c r="O58" i="7" s="1"/>
  <c r="H58" i="7"/>
  <c r="E59" i="13"/>
  <c r="I74" i="6"/>
  <c r="K74" i="6" s="1"/>
  <c r="G18" i="6" s="1"/>
  <c r="F16" i="3"/>
  <c r="E54" i="13" s="1"/>
  <c r="F14" i="3"/>
  <c r="E52" i="13" s="1"/>
  <c r="F15" i="14"/>
  <c r="M67" i="7"/>
  <c r="O67" i="7" s="1"/>
  <c r="J67" i="7"/>
  <c r="H67" i="7"/>
  <c r="H35" i="16"/>
  <c r="K92" i="6"/>
  <c r="G36" i="6" s="1"/>
  <c r="F29" i="19"/>
  <c r="N79" i="19"/>
  <c r="G37" i="19" s="1"/>
  <c r="F37" i="19"/>
  <c r="H21" i="7"/>
  <c r="M21" i="7"/>
  <c r="O21" i="7" s="1"/>
  <c r="M45" i="16"/>
  <c r="O45" i="16" s="1"/>
  <c r="H45" i="16"/>
  <c r="J45" i="16"/>
  <c r="K94" i="6"/>
  <c r="G40" i="6" s="1"/>
  <c r="G103" i="4"/>
  <c r="G49" i="4" s="1"/>
  <c r="H103" i="4"/>
  <c r="H49" i="4" s="1"/>
  <c r="I103" i="4"/>
  <c r="I49" i="4" s="1"/>
  <c r="H71" i="19"/>
  <c r="E35" i="19" s="1"/>
  <c r="D35" i="19"/>
  <c r="C59" i="13" s="1"/>
  <c r="F15" i="3"/>
  <c r="E53" i="13" s="1"/>
  <c r="C71" i="13"/>
  <c r="H33" i="7"/>
  <c r="G32" i="16"/>
  <c r="J35" i="16"/>
  <c r="M33" i="7"/>
  <c r="O33" i="7" s="1"/>
  <c r="I70" i="6"/>
  <c r="K70" i="6" s="1"/>
  <c r="G35" i="6" s="1"/>
  <c r="M22" i="16"/>
  <c r="O22" i="16" s="1"/>
  <c r="D14" i="2"/>
  <c r="C46" i="13" s="1"/>
  <c r="C12" i="13" s="1"/>
  <c r="E22" i="2"/>
  <c r="E14" i="2" s="1"/>
  <c r="D46" i="13" s="1"/>
  <c r="D12" i="13" s="1"/>
  <c r="I39" i="14"/>
  <c r="E15" i="14" s="1"/>
  <c r="D15" i="14"/>
  <c r="J36" i="7"/>
  <c r="M36" i="7"/>
  <c r="O36" i="7" s="1"/>
  <c r="H36" i="7"/>
  <c r="G69" i="7"/>
  <c r="G61" i="16"/>
  <c r="F13" i="4"/>
  <c r="D66" i="13" s="1"/>
  <c r="D14" i="13" s="1"/>
  <c r="I78" i="6"/>
  <c r="K78" i="6" s="1"/>
  <c r="G50" i="6" s="1"/>
  <c r="G51" i="4"/>
  <c r="G52" i="4" s="1"/>
  <c r="J51" i="4"/>
  <c r="J52" i="4" s="1"/>
  <c r="H51" i="4"/>
  <c r="H52" i="4" s="1"/>
  <c r="L51" i="4"/>
  <c r="L52" i="4" s="1"/>
  <c r="E58" i="13"/>
  <c r="E12" i="13" s="1"/>
  <c r="G37" i="7"/>
  <c r="F11" i="4"/>
  <c r="D64" i="13" s="1"/>
  <c r="I63" i="6"/>
  <c r="I73" i="6"/>
  <c r="K73" i="6" s="1"/>
  <c r="G41" i="6" s="1"/>
  <c r="F15" i="2"/>
  <c r="E47" i="13" s="1"/>
  <c r="H52" i="7"/>
  <c r="E31" i="2"/>
  <c r="E15" i="2" s="1"/>
  <c r="D47" i="13" s="1"/>
  <c r="I86" i="6"/>
  <c r="K86" i="6" s="1"/>
  <c r="G29" i="6" s="1"/>
  <c r="I96" i="6"/>
  <c r="K96" i="6" s="1"/>
  <c r="G43" i="6" s="1"/>
  <c r="I90" i="6"/>
  <c r="K90" i="6" s="1"/>
  <c r="G32" i="6" s="1"/>
  <c r="D20" i="17"/>
  <c r="G49" i="5"/>
  <c r="K99" i="6"/>
  <c r="G53" i="6" s="1"/>
  <c r="E11" i="4"/>
  <c r="C64" i="13" s="1"/>
  <c r="J45" i="7"/>
  <c r="I93" i="6"/>
  <c r="D27" i="19"/>
  <c r="C60" i="13" s="1"/>
  <c r="C14" i="13" s="1"/>
  <c r="E28" i="19"/>
  <c r="D58" i="13" s="1"/>
  <c r="D15" i="1"/>
  <c r="C35" i="13" s="1"/>
  <c r="J17" i="7"/>
  <c r="H17" i="7"/>
  <c r="M17" i="7"/>
  <c r="O17" i="7" s="1"/>
  <c r="E32" i="14"/>
  <c r="E14" i="14" s="1"/>
  <c r="D14" i="14"/>
  <c r="D16" i="2"/>
  <c r="C48" i="13" s="1"/>
  <c r="E24" i="2"/>
  <c r="E16" i="2" s="1"/>
  <c r="D48" i="13" s="1"/>
  <c r="E16" i="4"/>
  <c r="C69" i="13" s="1"/>
  <c r="J62" i="6"/>
  <c r="J60" i="6"/>
  <c r="J63" i="6"/>
  <c r="J72" i="6"/>
  <c r="F35" i="19"/>
  <c r="H74" i="15"/>
  <c r="G13" i="15" s="1"/>
  <c r="G19" i="16" s="1"/>
  <c r="H82" i="15"/>
  <c r="G27" i="15" s="1"/>
  <c r="H58" i="15"/>
  <c r="G42" i="15" s="1"/>
  <c r="G59" i="16" s="1"/>
  <c r="H51" i="15"/>
  <c r="G23" i="15" s="1"/>
  <c r="G30" i="16" s="1"/>
  <c r="H78" i="15"/>
  <c r="H72" i="15"/>
  <c r="G11" i="15" s="1"/>
  <c r="H67" i="15"/>
  <c r="G28" i="15" s="1"/>
  <c r="O78" i="15"/>
  <c r="O88" i="15"/>
  <c r="G40" i="15" s="1"/>
  <c r="O84" i="15"/>
  <c r="O72" i="15"/>
  <c r="O87" i="15"/>
  <c r="G38" i="15" s="1"/>
  <c r="H77" i="15"/>
  <c r="G19" i="15" s="1"/>
  <c r="H53" i="15"/>
  <c r="G25" i="15" s="1"/>
  <c r="G33" i="16" s="1"/>
  <c r="H71" i="15"/>
  <c r="G44" i="15" s="1"/>
  <c r="H69" i="15"/>
  <c r="H57" i="15"/>
  <c r="G37" i="15" s="1"/>
  <c r="G52" i="16" s="1"/>
  <c r="O68" i="15"/>
  <c r="G31" i="15" s="1"/>
  <c r="H66" i="15"/>
  <c r="G17" i="15" s="1"/>
  <c r="G23" i="16" s="1"/>
  <c r="H80" i="15"/>
  <c r="G22" i="15" s="1"/>
  <c r="O69" i="15"/>
  <c r="H54" i="15"/>
  <c r="G32" i="15" s="1"/>
  <c r="G43" i="16" s="1"/>
  <c r="H79" i="15"/>
  <c r="G21" i="15" s="1"/>
  <c r="H75" i="15"/>
  <c r="G15" i="15" s="1"/>
  <c r="H76" i="15"/>
  <c r="G18" i="15" s="1"/>
  <c r="H52" i="15"/>
  <c r="G24" i="15" s="1"/>
  <c r="G31" i="16" s="1"/>
  <c r="H84" i="15"/>
  <c r="O81" i="15"/>
  <c r="G26" i="15" s="1"/>
  <c r="I101" i="6"/>
  <c r="K101" i="6" s="1"/>
  <c r="G45" i="6" s="1"/>
  <c r="G14" i="15"/>
  <c r="G20" i="16" s="1"/>
  <c r="E29" i="19"/>
  <c r="D59" i="13" s="1"/>
  <c r="D13" i="13" s="1"/>
  <c r="J66" i="7"/>
  <c r="H66" i="7"/>
  <c r="G43" i="15"/>
  <c r="D16" i="14"/>
  <c r="C36" i="17"/>
  <c r="D41" i="17"/>
  <c r="B36" i="17"/>
  <c r="B37" i="17"/>
  <c r="M37" i="4"/>
  <c r="M38" i="4" s="1"/>
  <c r="F17" i="4" s="1"/>
  <c r="D70" i="13" s="1"/>
  <c r="L37" i="4"/>
  <c r="L38" i="4" s="1"/>
  <c r="H37" i="4"/>
  <c r="H38" i="4" s="1"/>
  <c r="K37" i="4"/>
  <c r="J37" i="4"/>
  <c r="J38" i="4" s="1"/>
  <c r="O78" i="5"/>
  <c r="E76" i="4"/>
  <c r="J75" i="4" s="1"/>
  <c r="R71" i="19"/>
  <c r="S71" i="19" s="1"/>
  <c r="O70" i="5"/>
  <c r="H110" i="5"/>
  <c r="G38" i="5" s="1"/>
  <c r="G48" i="7" s="1"/>
  <c r="V79" i="5"/>
  <c r="G42" i="5" s="1"/>
  <c r="H83" i="5"/>
  <c r="G54" i="5" s="1"/>
  <c r="O94" i="5"/>
  <c r="H62" i="5"/>
  <c r="G18" i="5" s="1"/>
  <c r="G24" i="7" s="1"/>
  <c r="H67" i="5"/>
  <c r="G41" i="5" s="1"/>
  <c r="G50" i="7" s="1"/>
  <c r="H79" i="5"/>
  <c r="G34" i="5" s="1"/>
  <c r="H82" i="5"/>
  <c r="G44" i="5" s="1"/>
  <c r="G55" i="7" s="1"/>
  <c r="G60" i="16" l="1"/>
  <c r="G68" i="7"/>
  <c r="H23" i="16"/>
  <c r="J23" i="16"/>
  <c r="M23" i="16"/>
  <c r="O23" i="16" s="1"/>
  <c r="G51" i="7"/>
  <c r="G46" i="16"/>
  <c r="E14" i="13"/>
  <c r="D18" i="13"/>
  <c r="G16" i="7"/>
  <c r="G16" i="16"/>
  <c r="J19" i="16"/>
  <c r="H19" i="16"/>
  <c r="M31" i="16"/>
  <c r="O31" i="16" s="1"/>
  <c r="H31" i="16"/>
  <c r="J31" i="16"/>
  <c r="G25" i="16"/>
  <c r="G27" i="7"/>
  <c r="G34" i="16"/>
  <c r="G35" i="7"/>
  <c r="H43" i="16"/>
  <c r="M43" i="16"/>
  <c r="O43" i="16" s="1"/>
  <c r="J43" i="16"/>
  <c r="H30" i="16"/>
  <c r="M30" i="16"/>
  <c r="O30" i="16" s="1"/>
  <c r="H59" i="16"/>
  <c r="J59" i="16"/>
  <c r="M59" i="16"/>
  <c r="O59" i="16" s="1"/>
  <c r="G53" i="7"/>
  <c r="G48" i="16"/>
  <c r="G65" i="7"/>
  <c r="G57" i="16"/>
  <c r="G54" i="16"/>
  <c r="G60" i="7"/>
  <c r="H50" i="7"/>
  <c r="M50" i="7"/>
  <c r="O50" i="7" s="1"/>
  <c r="J50" i="7"/>
  <c r="J24" i="7"/>
  <c r="M24" i="7"/>
  <c r="O24" i="7" s="1"/>
  <c r="H24" i="7"/>
  <c r="K63" i="6"/>
  <c r="G23" i="6" s="1"/>
  <c r="D14" i="17"/>
  <c r="F14" i="17"/>
  <c r="H52" i="16"/>
  <c r="J52" i="16"/>
  <c r="M52" i="16"/>
  <c r="O52" i="16" s="1"/>
  <c r="M20" i="16"/>
  <c r="O20" i="16" s="1"/>
  <c r="H20" i="16"/>
  <c r="J20" i="16"/>
  <c r="K38" i="4"/>
  <c r="F15" i="4" s="1"/>
  <c r="D68" i="13" s="1"/>
  <c r="D16" i="13" s="1"/>
  <c r="E15" i="4"/>
  <c r="C68" i="13" s="1"/>
  <c r="G59" i="7"/>
  <c r="G53" i="16"/>
  <c r="K32" i="7"/>
  <c r="G28" i="7"/>
  <c r="B7" i="3"/>
  <c r="J22" i="3" s="1"/>
  <c r="B8" i="17"/>
  <c r="B76" i="8"/>
  <c r="D12" i="17"/>
  <c r="F12" i="17"/>
  <c r="K35" i="16"/>
  <c r="J37" i="7"/>
  <c r="M37" i="7"/>
  <c r="O37" i="7" s="1"/>
  <c r="H37" i="7"/>
  <c r="G31" i="7"/>
  <c r="G29" i="16"/>
  <c r="M55" i="7"/>
  <c r="O55" i="7" s="1"/>
  <c r="J55" i="7"/>
  <c r="H55" i="7"/>
  <c r="H33" i="16"/>
  <c r="J33" i="16"/>
  <c r="K17" i="7"/>
  <c r="G18" i="7"/>
  <c r="G17" i="16"/>
  <c r="G61" i="7"/>
  <c r="G55" i="16"/>
  <c r="F13" i="17"/>
  <c r="D13" i="17"/>
  <c r="G49" i="16"/>
  <c r="G54" i="7"/>
  <c r="G41" i="15"/>
  <c r="G58" i="16" s="1"/>
  <c r="G30" i="15"/>
  <c r="C15" i="13"/>
  <c r="E17" i="4"/>
  <c r="C70" i="13" s="1"/>
  <c r="C18" i="13" s="1"/>
  <c r="G36" i="16"/>
  <c r="G38" i="7"/>
  <c r="G37" i="16"/>
  <c r="G40" i="7"/>
  <c r="G51" i="16"/>
  <c r="G57" i="7"/>
  <c r="E12" i="4"/>
  <c r="C65" i="13" s="1"/>
  <c r="K93" i="6"/>
  <c r="G39" i="6" s="1"/>
  <c r="G41" i="7"/>
  <c r="G38" i="16"/>
  <c r="K60" i="6"/>
  <c r="G19" i="6" s="1"/>
  <c r="J32" i="16"/>
  <c r="M32" i="16"/>
  <c r="O32" i="16" s="1"/>
  <c r="H32" i="16"/>
  <c r="K36" i="7"/>
  <c r="G42" i="16"/>
  <c r="G46" i="7"/>
  <c r="G29" i="7"/>
  <c r="G27" i="16"/>
  <c r="K39" i="7"/>
  <c r="C17" i="13"/>
  <c r="K67" i="7"/>
  <c r="G30" i="7"/>
  <c r="G28" i="16"/>
  <c r="H25" i="7"/>
  <c r="M25" i="7"/>
  <c r="O25" i="7" s="1"/>
  <c r="J25" i="7"/>
  <c r="G49" i="7"/>
  <c r="G44" i="16"/>
  <c r="H48" i="7"/>
  <c r="M48" i="7"/>
  <c r="O48" i="7" s="1"/>
  <c r="J48" i="7"/>
  <c r="D17" i="13"/>
  <c r="G62" i="16"/>
  <c r="G70" i="7"/>
  <c r="F36" i="19"/>
  <c r="E60" i="13" s="1"/>
  <c r="G20" i="15"/>
  <c r="G39" i="15" s="1"/>
  <c r="C73" i="13"/>
  <c r="E20" i="17"/>
  <c r="D73" i="13" s="1"/>
  <c r="K45" i="16"/>
  <c r="G42" i="7"/>
  <c r="G39" i="16"/>
  <c r="M61" i="16"/>
  <c r="O61" i="16" s="1"/>
  <c r="J61" i="16"/>
  <c r="H61" i="16"/>
  <c r="G63" i="16"/>
  <c r="G71" i="7"/>
  <c r="K62" i="6"/>
  <c r="G21" i="6" s="1"/>
  <c r="K66" i="7"/>
  <c r="K22" i="7"/>
  <c r="K72" i="6"/>
  <c r="G38" i="6" s="1"/>
  <c r="J69" i="7"/>
  <c r="M69" i="7"/>
  <c r="O69" i="7" s="1"/>
  <c r="H69" i="7"/>
  <c r="K45" i="7"/>
  <c r="G50" i="16"/>
  <c r="G56" i="7"/>
  <c r="G56" i="16"/>
  <c r="G62" i="7"/>
  <c r="K20" i="7"/>
  <c r="J42" i="7" l="1"/>
  <c r="H42" i="7"/>
  <c r="E41" i="13"/>
  <c r="E24" i="13" s="1"/>
  <c r="G13" i="17"/>
  <c r="F41" i="13" s="1"/>
  <c r="F24" i="13" s="1"/>
  <c r="M16" i="16"/>
  <c r="O16" i="16" s="1"/>
  <c r="J16" i="16"/>
  <c r="H16" i="16"/>
  <c r="K25" i="7"/>
  <c r="H46" i="7"/>
  <c r="J46" i="7"/>
  <c r="M46" i="7"/>
  <c r="O46" i="7" s="1"/>
  <c r="M51" i="16"/>
  <c r="O51" i="16" s="1"/>
  <c r="H51" i="16"/>
  <c r="J51" i="16"/>
  <c r="J61" i="7"/>
  <c r="H61" i="7"/>
  <c r="J29" i="16"/>
  <c r="H29" i="16"/>
  <c r="G26" i="16"/>
  <c r="I57" i="16"/>
  <c r="H57" i="16"/>
  <c r="J57" i="16"/>
  <c r="M16" i="7"/>
  <c r="O16" i="7" s="1"/>
  <c r="J16" i="7"/>
  <c r="H16" i="7"/>
  <c r="G43" i="7"/>
  <c r="G40" i="16"/>
  <c r="H44" i="16"/>
  <c r="J44" i="16"/>
  <c r="G41" i="16"/>
  <c r="G44" i="7"/>
  <c r="M57" i="7"/>
  <c r="O57" i="7" s="1"/>
  <c r="J57" i="7"/>
  <c r="H57" i="7"/>
  <c r="K52" i="16"/>
  <c r="J34" i="16"/>
  <c r="H34" i="16"/>
  <c r="G23" i="7"/>
  <c r="G21" i="16"/>
  <c r="G24" i="16"/>
  <c r="G26" i="7"/>
  <c r="I28" i="16"/>
  <c r="H28" i="16"/>
  <c r="J28" i="16"/>
  <c r="K37" i="7"/>
  <c r="C16" i="13"/>
  <c r="E16" i="13"/>
  <c r="K31" i="16"/>
  <c r="E13" i="13"/>
  <c r="C13" i="13"/>
  <c r="H55" i="16"/>
  <c r="J55" i="16"/>
  <c r="I55" i="16"/>
  <c r="H17" i="16"/>
  <c r="I17" i="16"/>
  <c r="J17" i="16"/>
  <c r="G49" i="6"/>
  <c r="G63" i="7" s="1"/>
  <c r="H48" i="16"/>
  <c r="J48" i="16"/>
  <c r="M48" i="16"/>
  <c r="O48" i="16" s="1"/>
  <c r="H38" i="7"/>
  <c r="J38" i="7"/>
  <c r="I38" i="7"/>
  <c r="H18" i="7"/>
  <c r="J18" i="7"/>
  <c r="I18" i="7"/>
  <c r="I25" i="16"/>
  <c r="J25" i="16"/>
  <c r="H25" i="16"/>
  <c r="M50" i="16"/>
  <c r="O50" i="16" s="1"/>
  <c r="J50" i="16"/>
  <c r="H50" i="16"/>
  <c r="J30" i="7"/>
  <c r="H30" i="7"/>
  <c r="K59" i="16"/>
  <c r="J65" i="7"/>
  <c r="I65" i="7"/>
  <c r="H65" i="7"/>
  <c r="I37" i="16"/>
  <c r="M37" i="16"/>
  <c r="O37" i="16" s="1"/>
  <c r="H37" i="16"/>
  <c r="J37" i="16"/>
  <c r="H63" i="16"/>
  <c r="J63" i="16"/>
  <c r="M63" i="16"/>
  <c r="O63" i="16" s="1"/>
  <c r="K32" i="16"/>
  <c r="K20" i="16"/>
  <c r="L20" i="16"/>
  <c r="L24" i="7"/>
  <c r="K24" i="7"/>
  <c r="L23" i="16"/>
  <c r="K23" i="16"/>
  <c r="K69" i="7"/>
  <c r="K55" i="7"/>
  <c r="K19" i="16"/>
  <c r="J49" i="7"/>
  <c r="H49" i="7"/>
  <c r="I49" i="7"/>
  <c r="H29" i="7"/>
  <c r="J29" i="7"/>
  <c r="I29" i="7"/>
  <c r="J28" i="7"/>
  <c r="H28" i="7"/>
  <c r="H40" i="7"/>
  <c r="J40" i="7"/>
  <c r="M40" i="7"/>
  <c r="O40" i="7" s="1"/>
  <c r="E42" i="13"/>
  <c r="E25" i="13" s="1"/>
  <c r="G14" i="17"/>
  <c r="F42" i="13" s="1"/>
  <c r="F25" i="13" s="1"/>
  <c r="H35" i="7"/>
  <c r="J35" i="7"/>
  <c r="I35" i="7"/>
  <c r="I62" i="7"/>
  <c r="M62" i="7"/>
  <c r="O62" i="7" s="1"/>
  <c r="J62" i="7"/>
  <c r="H62" i="7"/>
  <c r="E14" i="17"/>
  <c r="D42" i="13" s="1"/>
  <c r="D25" i="13" s="1"/>
  <c r="C42" i="13"/>
  <c r="C25" i="13" s="1"/>
  <c r="H46" i="16"/>
  <c r="M46" i="16"/>
  <c r="O46" i="16" s="1"/>
  <c r="H71" i="7"/>
  <c r="J71" i="7"/>
  <c r="I71" i="7"/>
  <c r="M71" i="7"/>
  <c r="O71" i="7" s="1"/>
  <c r="J70" i="7"/>
  <c r="M70" i="7"/>
  <c r="O70" i="7" s="1"/>
  <c r="H70" i="7"/>
  <c r="I70" i="7"/>
  <c r="J62" i="16"/>
  <c r="M62" i="16"/>
  <c r="O62" i="16" s="1"/>
  <c r="H62" i="16"/>
  <c r="K61" i="16"/>
  <c r="G18" i="16"/>
  <c r="G19" i="7"/>
  <c r="J58" i="16"/>
  <c r="I58" i="16"/>
  <c r="M58" i="16"/>
  <c r="O58" i="16" s="1"/>
  <c r="H58" i="16"/>
  <c r="K33" i="16"/>
  <c r="L33" i="16"/>
  <c r="G12" i="17"/>
  <c r="F40" i="13" s="1"/>
  <c r="F23" i="13" s="1"/>
  <c r="E40" i="13"/>
  <c r="E23" i="13" s="1"/>
  <c r="E13" i="17"/>
  <c r="D41" i="13" s="1"/>
  <c r="D24" i="13" s="1"/>
  <c r="C41" i="13"/>
  <c r="C24" i="13" s="1"/>
  <c r="K43" i="16"/>
  <c r="G14" i="3"/>
  <c r="F52" i="13" s="1"/>
  <c r="G16" i="3"/>
  <c r="F54" i="13" s="1"/>
  <c r="G15" i="3"/>
  <c r="F53" i="13" s="1"/>
  <c r="M42" i="16"/>
  <c r="O42" i="16" s="1"/>
  <c r="H42" i="16"/>
  <c r="J42" i="16"/>
  <c r="I42" i="16"/>
  <c r="I31" i="7"/>
  <c r="H31" i="7"/>
  <c r="J31" i="7"/>
  <c r="J56" i="16"/>
  <c r="H56" i="16"/>
  <c r="M56" i="16"/>
  <c r="O56" i="16" s="1"/>
  <c r="H53" i="16"/>
  <c r="I53" i="16"/>
  <c r="J53" i="16"/>
  <c r="M53" i="16"/>
  <c r="O53" i="16" s="1"/>
  <c r="I53" i="7"/>
  <c r="H53" i="7"/>
  <c r="J53" i="7"/>
  <c r="M53" i="7"/>
  <c r="O53" i="7" s="1"/>
  <c r="M56" i="7"/>
  <c r="O56" i="7" s="1"/>
  <c r="J56" i="7"/>
  <c r="H56" i="7"/>
  <c r="H59" i="7"/>
  <c r="M59" i="7"/>
  <c r="O59" i="7" s="1"/>
  <c r="J59" i="7"/>
  <c r="M38" i="16"/>
  <c r="O38" i="16" s="1"/>
  <c r="I38" i="16"/>
  <c r="H38" i="16"/>
  <c r="J38" i="16"/>
  <c r="J54" i="7"/>
  <c r="I54" i="7"/>
  <c r="H54" i="7"/>
  <c r="M54" i="7"/>
  <c r="O54" i="7" s="1"/>
  <c r="E12" i="17"/>
  <c r="D40" i="13" s="1"/>
  <c r="D23" i="13" s="1"/>
  <c r="C40" i="13"/>
  <c r="C23" i="13" s="1"/>
  <c r="K50" i="7"/>
  <c r="E18" i="13"/>
  <c r="J68" i="7"/>
  <c r="I68" i="7"/>
  <c r="M68" i="7"/>
  <c r="O68" i="7" s="1"/>
  <c r="H68" i="7"/>
  <c r="H27" i="16"/>
  <c r="J27" i="16"/>
  <c r="I27" i="16"/>
  <c r="J60" i="7"/>
  <c r="H60" i="7"/>
  <c r="I60" i="7"/>
  <c r="H54" i="16"/>
  <c r="J54" i="16"/>
  <c r="J27" i="7"/>
  <c r="H27" i="7"/>
  <c r="I27" i="7"/>
  <c r="I36" i="16"/>
  <c r="H36" i="16"/>
  <c r="J36" i="16"/>
  <c r="M51" i="7"/>
  <c r="O51" i="7" s="1"/>
  <c r="H51" i="7"/>
  <c r="K48" i="7"/>
  <c r="L48" i="7"/>
  <c r="H39" i="16"/>
  <c r="J39" i="16"/>
  <c r="J41" i="7"/>
  <c r="H41" i="7"/>
  <c r="M41" i="7"/>
  <c r="O41" i="7" s="1"/>
  <c r="I41" i="7"/>
  <c r="M49" i="16"/>
  <c r="O49" i="16" s="1"/>
  <c r="J49" i="16"/>
  <c r="I49" i="16"/>
  <c r="H49" i="16"/>
  <c r="B7" i="1"/>
  <c r="B7" i="2"/>
  <c r="B6" i="16"/>
  <c r="I51" i="16" s="1"/>
  <c r="B7" i="14"/>
  <c r="B6" i="7"/>
  <c r="I61" i="7" s="1"/>
  <c r="B7" i="19"/>
  <c r="H60" i="16"/>
  <c r="M60" i="16"/>
  <c r="O60" i="16" s="1"/>
  <c r="I60" i="16"/>
  <c r="J60" i="16"/>
  <c r="L38" i="16" l="1"/>
  <c r="K38" i="16"/>
  <c r="K29" i="7"/>
  <c r="L29" i="7"/>
  <c r="K70" i="7"/>
  <c r="L70" i="7"/>
  <c r="H26" i="7"/>
  <c r="J26" i="7"/>
  <c r="I26" i="7"/>
  <c r="M41" i="16"/>
  <c r="O41" i="16" s="1"/>
  <c r="I41" i="16"/>
  <c r="J41" i="16"/>
  <c r="H41" i="16"/>
  <c r="K65" i="7"/>
  <c r="L65" i="7"/>
  <c r="K18" i="7"/>
  <c r="L18" i="7"/>
  <c r="L55" i="16"/>
  <c r="K55" i="16"/>
  <c r="H24" i="16"/>
  <c r="J24" i="16"/>
  <c r="I24" i="16"/>
  <c r="I44" i="16"/>
  <c r="I29" i="16"/>
  <c r="L25" i="7"/>
  <c r="K62" i="7"/>
  <c r="L62" i="7"/>
  <c r="K28" i="16"/>
  <c r="L28" i="16"/>
  <c r="L32" i="16"/>
  <c r="L59" i="16"/>
  <c r="H21" i="16"/>
  <c r="J21" i="16"/>
  <c r="I21" i="16"/>
  <c r="L44" i="16"/>
  <c r="K44" i="16"/>
  <c r="L29" i="16"/>
  <c r="K29" i="16"/>
  <c r="I30" i="7"/>
  <c r="K38" i="7"/>
  <c r="L38" i="7"/>
  <c r="J40" i="16"/>
  <c r="H40" i="16"/>
  <c r="I40" i="16"/>
  <c r="L61" i="7"/>
  <c r="K61" i="7"/>
  <c r="K28" i="7"/>
  <c r="L28" i="7"/>
  <c r="K54" i="7"/>
  <c r="L54" i="7"/>
  <c r="H26" i="16"/>
  <c r="J26" i="16"/>
  <c r="I26" i="16"/>
  <c r="K60" i="16"/>
  <c r="L60" i="16"/>
  <c r="K68" i="7"/>
  <c r="L68" i="7"/>
  <c r="Q71" i="19"/>
  <c r="T57" i="19"/>
  <c r="N51" i="19"/>
  <c r="N65" i="19"/>
  <c r="G31" i="19" s="1"/>
  <c r="T65" i="19"/>
  <c r="G33" i="19" s="1"/>
  <c r="N71" i="19"/>
  <c r="N58" i="19"/>
  <c r="G28" i="19" s="1"/>
  <c r="Q65" i="19"/>
  <c r="G32" i="19" s="1"/>
  <c r="Q51" i="19"/>
  <c r="Q50" i="19"/>
  <c r="T49" i="19"/>
  <c r="Q72" i="19"/>
  <c r="N49" i="19"/>
  <c r="N50" i="19"/>
  <c r="T50" i="19"/>
  <c r="Q58" i="19"/>
  <c r="T51" i="19"/>
  <c r="T72" i="19"/>
  <c r="Q57" i="19"/>
  <c r="N59" i="19"/>
  <c r="N57" i="19"/>
  <c r="T59" i="19"/>
  <c r="T58" i="19"/>
  <c r="G30" i="19" s="1"/>
  <c r="Q49" i="19"/>
  <c r="Q59" i="19"/>
  <c r="N72" i="19"/>
  <c r="T71" i="19"/>
  <c r="G36" i="19" s="1"/>
  <c r="I39" i="16"/>
  <c r="K54" i="16"/>
  <c r="L54" i="16"/>
  <c r="L50" i="7"/>
  <c r="I56" i="16"/>
  <c r="L61" i="16"/>
  <c r="L19" i="16"/>
  <c r="I63" i="16"/>
  <c r="L31" i="16"/>
  <c r="I34" i="16"/>
  <c r="J43" i="7"/>
  <c r="H43" i="7"/>
  <c r="I43" i="7"/>
  <c r="I16" i="16"/>
  <c r="K36" i="16"/>
  <c r="L36" i="16"/>
  <c r="M44" i="7"/>
  <c r="O44" i="7" s="1"/>
  <c r="H44" i="7"/>
  <c r="I44" i="7"/>
  <c r="J44" i="7"/>
  <c r="K59" i="7"/>
  <c r="L59" i="7"/>
  <c r="I23" i="7"/>
  <c r="J23" i="7"/>
  <c r="H23" i="7"/>
  <c r="H18" i="16"/>
  <c r="I18" i="16"/>
  <c r="J18" i="16"/>
  <c r="L47" i="7"/>
  <c r="L34" i="7"/>
  <c r="I17" i="7"/>
  <c r="I34" i="7"/>
  <c r="I32" i="7"/>
  <c r="I64" i="7"/>
  <c r="I66" i="7"/>
  <c r="I45" i="7"/>
  <c r="I36" i="7"/>
  <c r="I47" i="7"/>
  <c r="L21" i="7"/>
  <c r="I58" i="7"/>
  <c r="I20" i="7"/>
  <c r="I22" i="7"/>
  <c r="I67" i="7"/>
  <c r="L33" i="7"/>
  <c r="L58" i="7"/>
  <c r="I52" i="7"/>
  <c r="I33" i="7"/>
  <c r="I39" i="7"/>
  <c r="I21" i="7"/>
  <c r="L52" i="7"/>
  <c r="L64" i="7"/>
  <c r="I55" i="7"/>
  <c r="L39" i="7"/>
  <c r="I69" i="7"/>
  <c r="I24" i="7"/>
  <c r="L66" i="7"/>
  <c r="I37" i="7"/>
  <c r="I50" i="7"/>
  <c r="I48" i="7"/>
  <c r="L36" i="7"/>
  <c r="L20" i="7"/>
  <c r="L67" i="7"/>
  <c r="L45" i="7"/>
  <c r="L17" i="7"/>
  <c r="I25" i="7"/>
  <c r="L32" i="7"/>
  <c r="L22" i="7"/>
  <c r="I59" i="7"/>
  <c r="L43" i="16"/>
  <c r="I40" i="7"/>
  <c r="L55" i="7"/>
  <c r="K30" i="7"/>
  <c r="L30" i="7"/>
  <c r="I48" i="16"/>
  <c r="L34" i="16"/>
  <c r="K34" i="16"/>
  <c r="I16" i="7"/>
  <c r="K51" i="16"/>
  <c r="L51" i="16"/>
  <c r="L49" i="16"/>
  <c r="K49" i="16"/>
  <c r="K35" i="7"/>
  <c r="L35" i="7"/>
  <c r="J64" i="16"/>
  <c r="L16" i="16"/>
  <c r="K16" i="16"/>
  <c r="K27" i="7"/>
  <c r="L27" i="7"/>
  <c r="K39" i="16"/>
  <c r="L39" i="16"/>
  <c r="Q60" i="14"/>
  <c r="M60" i="14"/>
  <c r="G19" i="14" s="1"/>
  <c r="I32" i="14"/>
  <c r="G14" i="14" s="1"/>
  <c r="Q40" i="14"/>
  <c r="M40" i="14"/>
  <c r="Q39" i="14"/>
  <c r="M53" i="14"/>
  <c r="Q53" i="14"/>
  <c r="I46" i="14"/>
  <c r="G17" i="14" s="1"/>
  <c r="I25" i="14"/>
  <c r="G12" i="14" s="1"/>
  <c r="M39" i="14"/>
  <c r="I26" i="14"/>
  <c r="G13" i="14" s="1"/>
  <c r="I54" i="16"/>
  <c r="C27" i="13"/>
  <c r="C26" i="13"/>
  <c r="I56" i="7"/>
  <c r="I46" i="16"/>
  <c r="K40" i="7"/>
  <c r="L40" i="7"/>
  <c r="L63" i="16"/>
  <c r="K63" i="16"/>
  <c r="I50" i="16"/>
  <c r="L52" i="16"/>
  <c r="L27" i="16"/>
  <c r="K27" i="16"/>
  <c r="L42" i="16"/>
  <c r="K42" i="16"/>
  <c r="L71" i="7"/>
  <c r="K71" i="7"/>
  <c r="D26" i="13"/>
  <c r="D27" i="13"/>
  <c r="L56" i="16"/>
  <c r="K56" i="16"/>
  <c r="L69" i="7"/>
  <c r="K48" i="16"/>
  <c r="L48" i="16"/>
  <c r="L16" i="7"/>
  <c r="K16" i="7"/>
  <c r="L53" i="7"/>
  <c r="K53" i="7"/>
  <c r="K25" i="16"/>
  <c r="L25" i="16"/>
  <c r="K46" i="7"/>
  <c r="L46" i="7"/>
  <c r="K58" i="16"/>
  <c r="L58" i="16"/>
  <c r="L41" i="7"/>
  <c r="K41" i="7"/>
  <c r="I30" i="2"/>
  <c r="I23" i="2"/>
  <c r="G15" i="2" s="1"/>
  <c r="F47" i="13" s="1"/>
  <c r="I24" i="2"/>
  <c r="I31" i="2"/>
  <c r="I22" i="2"/>
  <c r="I32" i="2"/>
  <c r="K31" i="7"/>
  <c r="L31" i="7"/>
  <c r="E26" i="13"/>
  <c r="E27" i="13"/>
  <c r="K37" i="16"/>
  <c r="L37" i="16"/>
  <c r="K50" i="16"/>
  <c r="L50" i="16"/>
  <c r="I57" i="7"/>
  <c r="K42" i="7"/>
  <c r="L42" i="7"/>
  <c r="L17" i="16"/>
  <c r="K17" i="16"/>
  <c r="K57" i="7"/>
  <c r="L57" i="7"/>
  <c r="K53" i="16"/>
  <c r="L53" i="16"/>
  <c r="J19" i="7"/>
  <c r="H19" i="7"/>
  <c r="I19" i="7"/>
  <c r="L49" i="7"/>
  <c r="K49" i="7"/>
  <c r="L22" i="16"/>
  <c r="I47" i="16"/>
  <c r="I35" i="16"/>
  <c r="L47" i="16"/>
  <c r="I45" i="16"/>
  <c r="I22" i="16"/>
  <c r="I19" i="16"/>
  <c r="I59" i="16"/>
  <c r="I30" i="16"/>
  <c r="I20" i="16"/>
  <c r="I33" i="16"/>
  <c r="L35" i="16"/>
  <c r="I61" i="16"/>
  <c r="I32" i="16"/>
  <c r="I31" i="16"/>
  <c r="I23" i="16"/>
  <c r="I43" i="16"/>
  <c r="I52" i="16"/>
  <c r="L45" i="16"/>
  <c r="K56" i="7"/>
  <c r="L56" i="7"/>
  <c r="K62" i="16"/>
  <c r="L62" i="16"/>
  <c r="Q40" i="1"/>
  <c r="G16" i="1" s="1"/>
  <c r="F36" i="13" s="1"/>
  <c r="F16" i="13" s="1"/>
  <c r="Q60" i="1"/>
  <c r="U39" i="1"/>
  <c r="Q41" i="1"/>
  <c r="I47" i="1"/>
  <c r="G17" i="1" s="1"/>
  <c r="F37" i="13" s="1"/>
  <c r="I25" i="1"/>
  <c r="G12" i="1" s="1"/>
  <c r="F32" i="13" s="1"/>
  <c r="Y40" i="1"/>
  <c r="U40" i="1"/>
  <c r="Y41" i="1"/>
  <c r="Y39" i="1"/>
  <c r="I53" i="1"/>
  <c r="G18" i="1" s="1"/>
  <c r="F38" i="13" s="1"/>
  <c r="I26" i="1"/>
  <c r="G13" i="1" s="1"/>
  <c r="F33" i="13" s="1"/>
  <c r="M60" i="1"/>
  <c r="U41" i="1"/>
  <c r="I32" i="1"/>
  <c r="G14" i="1" s="1"/>
  <c r="F34" i="13" s="1"/>
  <c r="Q39" i="1"/>
  <c r="G15" i="1" s="1"/>
  <c r="F35" i="13" s="1"/>
  <c r="F15" i="13" s="1"/>
  <c r="I51" i="7"/>
  <c r="L60" i="7"/>
  <c r="K60" i="7"/>
  <c r="F26" i="13"/>
  <c r="F27" i="13"/>
  <c r="I62" i="16"/>
  <c r="I28" i="7"/>
  <c r="M63" i="7"/>
  <c r="O63" i="7" s="1"/>
  <c r="H63" i="7"/>
  <c r="I63" i="7"/>
  <c r="L37" i="7"/>
  <c r="K57" i="16"/>
  <c r="L57" i="16"/>
  <c r="I46" i="7"/>
  <c r="I42" i="7"/>
  <c r="K18" i="16" l="1"/>
  <c r="L18" i="16"/>
  <c r="K40" i="16"/>
  <c r="L40" i="16"/>
  <c r="G18" i="14"/>
  <c r="L41" i="16"/>
  <c r="L65" i="16" s="1"/>
  <c r="K41" i="16"/>
  <c r="F17" i="13"/>
  <c r="G16" i="14"/>
  <c r="K43" i="7"/>
  <c r="L43" i="7"/>
  <c r="G26" i="19"/>
  <c r="L44" i="7"/>
  <c r="K44" i="7"/>
  <c r="F18" i="13"/>
  <c r="L21" i="16"/>
  <c r="K21" i="16"/>
  <c r="G19" i="1"/>
  <c r="F39" i="13" s="1"/>
  <c r="F19" i="13" s="1"/>
  <c r="G34" i="19"/>
  <c r="G14" i="2"/>
  <c r="F46" i="13" s="1"/>
  <c r="K23" i="7"/>
  <c r="K72" i="7" s="1"/>
  <c r="L23" i="7"/>
  <c r="K19" i="7"/>
  <c r="K73" i="7" s="1"/>
  <c r="L19" i="7"/>
  <c r="L73" i="7" s="1"/>
  <c r="G15" i="14"/>
  <c r="G29" i="19"/>
  <c r="K26" i="16"/>
  <c r="L26" i="16"/>
  <c r="K24" i="16"/>
  <c r="L24" i="16"/>
  <c r="L64" i="16" s="1"/>
  <c r="J72" i="7"/>
  <c r="G16" i="2"/>
  <c r="F48" i="13" s="1"/>
  <c r="K64" i="16"/>
  <c r="K65" i="16"/>
  <c r="G27" i="19"/>
  <c r="F60" i="13" s="1"/>
  <c r="F14" i="13" s="1"/>
  <c r="G35" i="19"/>
  <c r="L72" i="7"/>
  <c r="K26" i="7"/>
  <c r="L26" i="7"/>
  <c r="G25" i="19"/>
  <c r="F59" i="13" l="1"/>
  <c r="F13" i="13" s="1"/>
  <c r="F58" i="13"/>
  <c r="F12" i="13" s="1"/>
</calcChain>
</file>

<file path=xl/sharedStrings.xml><?xml version="1.0" encoding="utf-8"?>
<sst xmlns="http://schemas.openxmlformats.org/spreadsheetml/2006/main" count="3263" uniqueCount="596">
  <si>
    <t>Facility Capacity (ton/hr)</t>
  </si>
  <si>
    <t>PM</t>
  </si>
  <si>
    <t>PM10</t>
  </si>
  <si>
    <t>CO</t>
  </si>
  <si>
    <t>Pollutant</t>
  </si>
  <si>
    <t>Emission Factor</t>
  </si>
  <si>
    <t>(lb/ton)</t>
  </si>
  <si>
    <t>PM/PM10</t>
  </si>
  <si>
    <t>Emissions</t>
  </si>
  <si>
    <t>(lb/hr)</t>
  </si>
  <si>
    <t>(ton/yr)</t>
  </si>
  <si>
    <t>Worst Case Totals</t>
  </si>
  <si>
    <t>Drum Hot Mix Asphalt Production Criteria Pollutants</t>
  </si>
  <si>
    <t>SO2</t>
  </si>
  <si>
    <t>NOX</t>
  </si>
  <si>
    <t>VOC</t>
  </si>
  <si>
    <t>Uncontrolled</t>
  </si>
  <si>
    <t>Controlled/Limited</t>
  </si>
  <si>
    <t>Table 11.1-3</t>
  </si>
  <si>
    <t>Table 11.1.-7</t>
  </si>
  <si>
    <t>Natural Gas</t>
  </si>
  <si>
    <t>Table 11.1-8</t>
  </si>
  <si>
    <t>Blue values are results</t>
  </si>
  <si>
    <t>Table 11.1-14</t>
  </si>
  <si>
    <t>Totals</t>
  </si>
  <si>
    <t>Load Out</t>
  </si>
  <si>
    <t>Silo Loading</t>
  </si>
  <si>
    <r>
      <t>PM</t>
    </r>
    <r>
      <rPr>
        <vertAlign val="subscript"/>
        <sz val="8"/>
        <rFont val="Arial"/>
        <family val="2"/>
      </rPr>
      <t>10</t>
    </r>
  </si>
  <si>
    <r>
      <t>SO</t>
    </r>
    <r>
      <rPr>
        <vertAlign val="subscript"/>
        <sz val="8"/>
        <rFont val="Arial"/>
        <family val="2"/>
      </rPr>
      <t>2</t>
    </r>
  </si>
  <si>
    <r>
      <t>NO</t>
    </r>
    <r>
      <rPr>
        <vertAlign val="subscript"/>
        <sz val="8"/>
        <rFont val="Arial"/>
        <family val="2"/>
      </rPr>
      <t>X</t>
    </r>
  </si>
  <si>
    <r>
      <t>10</t>
    </r>
    <r>
      <rPr>
        <vertAlign val="superscript"/>
        <sz val="8"/>
        <rFont val="Arial"/>
        <family val="2"/>
      </rPr>
      <t>6</t>
    </r>
    <r>
      <rPr>
        <sz val="8"/>
        <rFont val="Arial"/>
        <family val="2"/>
      </rPr>
      <t xml:space="preserve"> BTU / Hr [Size]:</t>
    </r>
  </si>
  <si>
    <t>BTU/SCF:</t>
  </si>
  <si>
    <r>
      <t>Lb/10</t>
    </r>
    <r>
      <rPr>
        <vertAlign val="superscript"/>
        <sz val="8"/>
        <rFont val="Arial"/>
        <family val="2"/>
      </rPr>
      <t>6</t>
    </r>
    <r>
      <rPr>
        <sz val="8"/>
        <rFont val="Arial"/>
        <family val="2"/>
      </rPr>
      <t>SCF:</t>
    </r>
  </si>
  <si>
    <t>Hours/Year:</t>
  </si>
  <si>
    <t>% Sulfur:</t>
  </si>
  <si>
    <t>-</t>
  </si>
  <si>
    <t>Lb/Hr:</t>
  </si>
  <si>
    <t>Source:  AP-42 Fifth Edition, Tables 1.4-1,-2, 7/98 Update</t>
  </si>
  <si>
    <t>TPY:</t>
  </si>
  <si>
    <t>Distillate (#2) Oil Fired (&lt; 10 mmbtu/hr)</t>
  </si>
  <si>
    <t>BTU/Gal:</t>
  </si>
  <si>
    <r>
      <t>Lb/10</t>
    </r>
    <r>
      <rPr>
        <vertAlign val="superscript"/>
        <sz val="8"/>
        <rFont val="Arial"/>
        <family val="2"/>
      </rPr>
      <t>3</t>
    </r>
    <r>
      <rPr>
        <sz val="8"/>
        <rFont val="Arial"/>
        <family val="2"/>
      </rPr>
      <t xml:space="preserve"> Gal:</t>
    </r>
  </si>
  <si>
    <t>Source:  AP-42 5th Ed, Tables 1.3-1,-2,-3,-7 9/98 Update</t>
  </si>
  <si>
    <r>
      <t xml:space="preserve"> </t>
    </r>
    <r>
      <rPr>
        <sz val="9.9"/>
        <color indexed="8"/>
        <rFont val="Arial"/>
        <family val="2"/>
      </rPr>
      <t xml:space="preserve">E </t>
    </r>
    <r>
      <rPr>
        <sz val="10"/>
        <rFont val="Arial"/>
      </rPr>
      <t xml:space="preserve"> </t>
    </r>
  </si>
  <si>
    <r>
      <t xml:space="preserve"> </t>
    </r>
    <r>
      <rPr>
        <sz val="9.9"/>
        <color indexed="8"/>
        <rFont val="Arial"/>
        <family val="2"/>
      </rPr>
      <t>1.8x10</t>
    </r>
    <r>
      <rPr>
        <sz val="6"/>
        <color indexed="8"/>
        <rFont val="Arial"/>
        <family val="2"/>
      </rPr>
      <t xml:space="preserve">-7 </t>
    </r>
    <r>
      <rPr>
        <sz val="10"/>
        <rFont val="Arial"/>
      </rPr>
      <t xml:space="preserve"> </t>
    </r>
  </si>
  <si>
    <r>
      <t xml:space="preserve"> </t>
    </r>
    <r>
      <rPr>
        <sz val="9.9"/>
        <color indexed="8"/>
        <rFont val="Arial"/>
        <family val="2"/>
      </rPr>
      <t xml:space="preserve">D </t>
    </r>
    <r>
      <rPr>
        <sz val="10"/>
        <rFont val="Arial"/>
      </rPr>
      <t xml:space="preserve"> </t>
    </r>
  </si>
  <si>
    <r>
      <t xml:space="preserve"> </t>
    </r>
    <r>
      <rPr>
        <sz val="9.9"/>
        <color indexed="8"/>
        <rFont val="Arial"/>
        <family val="2"/>
      </rPr>
      <t xml:space="preserve">48 </t>
    </r>
    <r>
      <rPr>
        <sz val="10"/>
        <rFont val="Arial"/>
      </rPr>
      <t xml:space="preserve"> </t>
    </r>
  </si>
  <si>
    <r>
      <t xml:space="preserve"> </t>
    </r>
    <r>
      <rPr>
        <sz val="9.9"/>
        <color indexed="8"/>
        <rFont val="Arial"/>
        <family val="2"/>
      </rPr>
      <t xml:space="preserve">35,45,48 </t>
    </r>
    <r>
      <rPr>
        <sz val="10"/>
        <rFont val="Arial"/>
      </rPr>
      <t xml:space="preserve"> </t>
    </r>
  </si>
  <si>
    <r>
      <t xml:space="preserve"> </t>
    </r>
    <r>
      <rPr>
        <sz val="9.9"/>
        <color indexed="8"/>
        <rFont val="Arial"/>
        <family val="2"/>
      </rPr>
      <t xml:space="preserve">35,48 </t>
    </r>
    <r>
      <rPr>
        <sz val="10"/>
        <rFont val="Arial"/>
      </rPr>
      <t xml:space="preserve"> </t>
    </r>
  </si>
  <si>
    <r>
      <t xml:space="preserve"> </t>
    </r>
    <r>
      <rPr>
        <sz val="9.9"/>
        <color indexed="8"/>
        <rFont val="Arial"/>
        <family val="2"/>
      </rPr>
      <t xml:space="preserve">191-24-2 </t>
    </r>
    <r>
      <rPr>
        <sz val="10"/>
        <rFont val="Arial"/>
      </rPr>
      <t xml:space="preserve"> </t>
    </r>
  </si>
  <si>
    <r>
      <t xml:space="preserve"> </t>
    </r>
    <r>
      <rPr>
        <sz val="9.9"/>
        <color indexed="8"/>
        <rFont val="Arial"/>
        <family val="2"/>
      </rPr>
      <t>Benzo(g,h,i)perylene</t>
    </r>
    <r>
      <rPr>
        <sz val="6"/>
        <color indexed="8"/>
        <rFont val="Arial"/>
        <family val="2"/>
      </rPr>
      <t xml:space="preserve">g </t>
    </r>
    <r>
      <rPr>
        <sz val="10"/>
        <rFont val="Arial"/>
      </rPr>
      <t xml:space="preserve"> </t>
    </r>
  </si>
  <si>
    <r>
      <t xml:space="preserve"> </t>
    </r>
    <r>
      <rPr>
        <sz val="9.9"/>
        <color indexed="8"/>
        <rFont val="Arial"/>
        <family val="2"/>
      </rPr>
      <t>4.0x10</t>
    </r>
    <r>
      <rPr>
        <sz val="6"/>
        <color indexed="8"/>
        <rFont val="Arial"/>
        <family val="2"/>
      </rPr>
      <t xml:space="preserve">-8 </t>
    </r>
    <r>
      <rPr>
        <sz val="10"/>
        <rFont val="Arial"/>
      </rPr>
      <t xml:space="preserve"> </t>
    </r>
  </si>
  <si>
    <r>
      <t xml:space="preserve"> </t>
    </r>
    <r>
      <rPr>
        <sz val="9.9"/>
        <color indexed="8"/>
        <rFont val="Arial"/>
        <family val="2"/>
      </rPr>
      <t xml:space="preserve">207-08-9 </t>
    </r>
    <r>
      <rPr>
        <sz val="10"/>
        <rFont val="Arial"/>
      </rPr>
      <t xml:space="preserve"> </t>
    </r>
  </si>
  <si>
    <r>
      <t xml:space="preserve"> </t>
    </r>
    <r>
      <rPr>
        <sz val="9.9"/>
        <color indexed="8"/>
        <rFont val="Arial"/>
        <family val="2"/>
      </rPr>
      <t>Benzo(k)fluoranthene</t>
    </r>
    <r>
      <rPr>
        <sz val="6"/>
        <color indexed="8"/>
        <rFont val="Arial"/>
        <family val="2"/>
      </rPr>
      <t xml:space="preserve">g </t>
    </r>
    <r>
      <rPr>
        <sz val="10"/>
        <rFont val="Arial"/>
      </rPr>
      <t xml:space="preserve"> </t>
    </r>
  </si>
  <si>
    <r>
      <t xml:space="preserve"> </t>
    </r>
    <r>
      <rPr>
        <sz val="9.9"/>
        <color indexed="8"/>
        <rFont val="Arial"/>
        <family val="2"/>
      </rPr>
      <t>4.1x10</t>
    </r>
    <r>
      <rPr>
        <sz val="6"/>
        <color indexed="8"/>
        <rFont val="Arial"/>
        <family val="2"/>
      </rPr>
      <t xml:space="preserve">-8 </t>
    </r>
    <r>
      <rPr>
        <sz val="10"/>
        <rFont val="Arial"/>
      </rPr>
      <t xml:space="preserve"> </t>
    </r>
  </si>
  <si>
    <r>
      <t xml:space="preserve"> </t>
    </r>
    <r>
      <rPr>
        <sz val="9.9"/>
        <color indexed="8"/>
        <rFont val="Arial"/>
        <family val="2"/>
      </rPr>
      <t xml:space="preserve">218-01-9 </t>
    </r>
    <r>
      <rPr>
        <sz val="10"/>
        <rFont val="Arial"/>
      </rPr>
      <t xml:space="preserve"> </t>
    </r>
  </si>
  <si>
    <r>
      <t xml:space="preserve"> </t>
    </r>
    <r>
      <rPr>
        <sz val="9.9"/>
        <color indexed="8"/>
        <rFont val="Arial"/>
        <family val="2"/>
      </rPr>
      <t>Chrysene</t>
    </r>
    <r>
      <rPr>
        <sz val="6"/>
        <color indexed="8"/>
        <rFont val="Arial"/>
        <family val="2"/>
      </rPr>
      <t xml:space="preserve">g </t>
    </r>
    <r>
      <rPr>
        <sz val="10"/>
        <rFont val="Arial"/>
      </rPr>
      <t xml:space="preserve"> </t>
    </r>
  </si>
  <si>
    <r>
      <t xml:space="preserve"> </t>
    </r>
    <r>
      <rPr>
        <sz val="9.9"/>
        <color indexed="8"/>
        <rFont val="Arial"/>
        <family val="2"/>
      </rPr>
      <t xml:space="preserve">206-44-0 </t>
    </r>
    <r>
      <rPr>
        <sz val="10"/>
        <rFont val="Arial"/>
      </rPr>
      <t xml:space="preserve"> </t>
    </r>
  </si>
  <si>
    <r>
      <t xml:space="preserve"> </t>
    </r>
    <r>
      <rPr>
        <sz val="9.9"/>
        <color indexed="8"/>
        <rFont val="Arial"/>
        <family val="2"/>
      </rPr>
      <t>Fluoranthene</t>
    </r>
    <r>
      <rPr>
        <sz val="6"/>
        <color indexed="8"/>
        <rFont val="Arial"/>
        <family val="2"/>
      </rPr>
      <t xml:space="preserve">g </t>
    </r>
    <r>
      <rPr>
        <sz val="10"/>
        <rFont val="Arial"/>
      </rPr>
      <t xml:space="preserve"> </t>
    </r>
  </si>
  <si>
    <r>
      <t xml:space="preserve"> </t>
    </r>
    <r>
      <rPr>
        <sz val="9.9"/>
        <color indexed="8"/>
        <rFont val="Arial"/>
        <family val="2"/>
      </rPr>
      <t>6.1x10</t>
    </r>
    <r>
      <rPr>
        <sz val="6"/>
        <color indexed="8"/>
        <rFont val="Arial"/>
        <family val="2"/>
      </rPr>
      <t xml:space="preserve">-7 </t>
    </r>
    <r>
      <rPr>
        <sz val="10"/>
        <rFont val="Arial"/>
      </rPr>
      <t xml:space="preserve"> </t>
    </r>
  </si>
  <si>
    <r>
      <t xml:space="preserve"> </t>
    </r>
    <r>
      <rPr>
        <sz val="9.9"/>
        <color indexed="8"/>
        <rFont val="Arial"/>
        <family val="2"/>
      </rPr>
      <t xml:space="preserve">86-73-7 </t>
    </r>
    <r>
      <rPr>
        <sz val="10"/>
        <rFont val="Arial"/>
      </rPr>
      <t xml:space="preserve"> </t>
    </r>
  </si>
  <si>
    <r>
      <t xml:space="preserve"> </t>
    </r>
    <r>
      <rPr>
        <sz val="9.9"/>
        <color indexed="8"/>
        <rFont val="Arial"/>
        <family val="2"/>
      </rPr>
      <t>Fluorene</t>
    </r>
    <r>
      <rPr>
        <sz val="6"/>
        <color indexed="8"/>
        <rFont val="Arial"/>
        <family val="2"/>
      </rPr>
      <t xml:space="preserve">g </t>
    </r>
    <r>
      <rPr>
        <sz val="10"/>
        <rFont val="Arial"/>
      </rPr>
      <t xml:space="preserve"> </t>
    </r>
  </si>
  <si>
    <r>
      <t xml:space="preserve"> </t>
    </r>
    <r>
      <rPr>
        <sz val="9.9"/>
        <color indexed="8"/>
        <rFont val="Arial"/>
        <family val="2"/>
      </rPr>
      <t xml:space="preserve">193-39-5 </t>
    </r>
    <r>
      <rPr>
        <sz val="10"/>
        <rFont val="Arial"/>
      </rPr>
      <t xml:space="preserve"> </t>
    </r>
  </si>
  <si>
    <r>
      <t xml:space="preserve"> </t>
    </r>
    <r>
      <rPr>
        <sz val="9.9"/>
        <color indexed="8"/>
        <rFont val="Arial"/>
        <family val="2"/>
      </rPr>
      <t>Indeno(1,2,3-cd)pyrene</t>
    </r>
    <r>
      <rPr>
        <sz val="6"/>
        <color indexed="8"/>
        <rFont val="Arial"/>
        <family val="2"/>
      </rPr>
      <t xml:space="preserve">g </t>
    </r>
    <r>
      <rPr>
        <sz val="10"/>
        <rFont val="Arial"/>
      </rPr>
      <t xml:space="preserve"> </t>
    </r>
  </si>
  <si>
    <r>
      <t xml:space="preserve"> </t>
    </r>
    <r>
      <rPr>
        <sz val="9.9"/>
        <color indexed="8"/>
        <rFont val="Arial"/>
        <family val="2"/>
      </rPr>
      <t>7.0x10</t>
    </r>
    <r>
      <rPr>
        <sz val="6"/>
        <color indexed="8"/>
        <rFont val="Arial"/>
        <family val="2"/>
      </rPr>
      <t xml:space="preserve">-9 </t>
    </r>
    <r>
      <rPr>
        <sz val="10"/>
        <rFont val="Arial"/>
      </rPr>
      <t xml:space="preserve"> </t>
    </r>
  </si>
  <si>
    <r>
      <t xml:space="preserve"> </t>
    </r>
    <r>
      <rPr>
        <sz val="9.9"/>
        <color indexed="8"/>
        <rFont val="Arial"/>
        <family val="2"/>
      </rPr>
      <t xml:space="preserve">91-20-3 </t>
    </r>
    <r>
      <rPr>
        <sz val="10"/>
        <rFont val="Arial"/>
      </rPr>
      <t xml:space="preserve"> </t>
    </r>
  </si>
  <si>
    <r>
      <t xml:space="preserve"> </t>
    </r>
    <r>
      <rPr>
        <sz val="9.9"/>
        <color indexed="8"/>
        <rFont val="Arial"/>
        <family val="2"/>
      </rPr>
      <t>Naphthalene</t>
    </r>
    <r>
      <rPr>
        <sz val="6"/>
        <color indexed="8"/>
        <rFont val="Arial"/>
        <family val="2"/>
      </rPr>
      <t xml:space="preserve">g </t>
    </r>
    <r>
      <rPr>
        <sz val="10"/>
        <rFont val="Arial"/>
      </rPr>
      <t xml:space="preserve"> </t>
    </r>
  </si>
  <si>
    <r>
      <t xml:space="preserve"> </t>
    </r>
    <r>
      <rPr>
        <sz val="9.9"/>
        <color indexed="8"/>
        <rFont val="Arial"/>
        <family val="2"/>
      </rPr>
      <t xml:space="preserve">198-55-0 </t>
    </r>
    <r>
      <rPr>
        <sz val="10"/>
        <rFont val="Arial"/>
      </rPr>
      <t xml:space="preserve"> </t>
    </r>
  </si>
  <si>
    <r>
      <t xml:space="preserve"> </t>
    </r>
    <r>
      <rPr>
        <sz val="9.9"/>
        <color indexed="8"/>
        <rFont val="Arial"/>
        <family val="2"/>
      </rPr>
      <t>Perylene</t>
    </r>
    <r>
      <rPr>
        <sz val="6"/>
        <color indexed="8"/>
        <rFont val="Arial"/>
        <family val="2"/>
      </rPr>
      <t xml:space="preserve">g </t>
    </r>
    <r>
      <rPr>
        <sz val="10"/>
        <rFont val="Arial"/>
      </rPr>
      <t xml:space="preserve"> </t>
    </r>
  </si>
  <si>
    <r>
      <t xml:space="preserve"> </t>
    </r>
    <r>
      <rPr>
        <sz val="9.9"/>
        <color indexed="8"/>
        <rFont val="Arial"/>
        <family val="2"/>
      </rPr>
      <t>8.8x10</t>
    </r>
    <r>
      <rPr>
        <sz val="6"/>
        <color indexed="8"/>
        <rFont val="Arial"/>
        <family val="2"/>
      </rPr>
      <t xml:space="preserve">-9 </t>
    </r>
    <r>
      <rPr>
        <sz val="10"/>
        <rFont val="Arial"/>
      </rPr>
      <t xml:space="preserve"> </t>
    </r>
  </si>
  <si>
    <r>
      <t xml:space="preserve"> </t>
    </r>
    <r>
      <rPr>
        <sz val="9.9"/>
        <color indexed="8"/>
        <rFont val="Arial"/>
        <family val="2"/>
      </rPr>
      <t xml:space="preserve">85-01-8 </t>
    </r>
    <r>
      <rPr>
        <sz val="10"/>
        <rFont val="Arial"/>
      </rPr>
      <t xml:space="preserve"> </t>
    </r>
  </si>
  <si>
    <r>
      <t xml:space="preserve"> </t>
    </r>
    <r>
      <rPr>
        <sz val="9.9"/>
        <color indexed="8"/>
        <rFont val="Arial"/>
        <family val="2"/>
      </rPr>
      <t>Phenanthrene</t>
    </r>
    <r>
      <rPr>
        <sz val="6"/>
        <color indexed="8"/>
        <rFont val="Arial"/>
        <family val="2"/>
      </rPr>
      <t xml:space="preserve">g </t>
    </r>
    <r>
      <rPr>
        <sz val="10"/>
        <rFont val="Arial"/>
      </rPr>
      <t xml:space="preserve"> </t>
    </r>
  </si>
  <si>
    <r>
      <t xml:space="preserve"> </t>
    </r>
    <r>
      <rPr>
        <sz val="9.9"/>
        <color indexed="8"/>
        <rFont val="Arial"/>
        <family val="2"/>
      </rPr>
      <t xml:space="preserve">129-00-0 </t>
    </r>
    <r>
      <rPr>
        <sz val="10"/>
        <rFont val="Arial"/>
      </rPr>
      <t xml:space="preserve"> </t>
    </r>
  </si>
  <si>
    <r>
      <t xml:space="preserve"> </t>
    </r>
    <r>
      <rPr>
        <sz val="9.9"/>
        <color indexed="8"/>
        <rFont val="Arial"/>
        <family val="2"/>
      </rPr>
      <t>Pyrene</t>
    </r>
    <r>
      <rPr>
        <sz val="6"/>
        <color indexed="8"/>
        <rFont val="Arial"/>
        <family val="2"/>
      </rPr>
      <t xml:space="preserve">g </t>
    </r>
    <r>
      <rPr>
        <sz val="10"/>
        <rFont val="Arial"/>
      </rPr>
      <t xml:space="preserve"> </t>
    </r>
  </si>
  <si>
    <r>
      <t xml:space="preserve"> </t>
    </r>
    <r>
      <rPr>
        <sz val="9.9"/>
        <color indexed="8"/>
        <rFont val="Arial"/>
        <family val="2"/>
      </rPr>
      <t xml:space="preserve">50 </t>
    </r>
    <r>
      <rPr>
        <sz val="10"/>
        <rFont val="Arial"/>
      </rPr>
      <t xml:space="preserve"> </t>
    </r>
  </si>
  <si>
    <t>CAS</t>
  </si>
  <si>
    <t>% of Load Out PM</t>
  </si>
  <si>
    <t>Total</t>
  </si>
  <si>
    <t>HAP</t>
  </si>
  <si>
    <t>TAP</t>
  </si>
  <si>
    <t>N/A</t>
  </si>
  <si>
    <r>
      <t xml:space="preserve">129-00-0 </t>
    </r>
    <r>
      <rPr>
        <sz val="10"/>
        <rFont val="Arial"/>
      </rPr>
      <t xml:space="preserve"> </t>
    </r>
  </si>
  <si>
    <r>
      <t xml:space="preserve">85-01-8 </t>
    </r>
    <r>
      <rPr>
        <sz val="10"/>
        <rFont val="Arial"/>
      </rPr>
      <t xml:space="preserve"> </t>
    </r>
  </si>
  <si>
    <r>
      <t xml:space="preserve">83-32-9 </t>
    </r>
    <r>
      <rPr>
        <sz val="10"/>
        <rFont val="Arial"/>
      </rPr>
      <t xml:space="preserve"> </t>
    </r>
  </si>
  <si>
    <r>
      <t xml:space="preserve">208-96-8 </t>
    </r>
    <r>
      <rPr>
        <sz val="10"/>
        <rFont val="Arial"/>
      </rPr>
      <t xml:space="preserve"> </t>
    </r>
  </si>
  <si>
    <r>
      <t xml:space="preserve">120-1207 </t>
    </r>
    <r>
      <rPr>
        <sz val="10"/>
        <rFont val="Arial"/>
      </rPr>
      <t xml:space="preserve"> </t>
    </r>
  </si>
  <si>
    <r>
      <t xml:space="preserve">56-55-3 </t>
    </r>
    <r>
      <rPr>
        <sz val="10"/>
        <rFont val="Arial"/>
      </rPr>
      <t xml:space="preserve"> </t>
    </r>
  </si>
  <si>
    <r>
      <t xml:space="preserve">205-99-2 </t>
    </r>
    <r>
      <rPr>
        <sz val="10"/>
        <rFont val="Arial"/>
      </rPr>
      <t xml:space="preserve"> </t>
    </r>
  </si>
  <si>
    <r>
      <t xml:space="preserve">207-08-9 </t>
    </r>
    <r>
      <rPr>
        <sz val="10"/>
        <rFont val="Arial"/>
      </rPr>
      <t xml:space="preserve"> </t>
    </r>
  </si>
  <si>
    <r>
      <t xml:space="preserve">191-24-2 </t>
    </r>
    <r>
      <rPr>
        <sz val="10"/>
        <rFont val="Arial"/>
      </rPr>
      <t xml:space="preserve"> </t>
    </r>
  </si>
  <si>
    <r>
      <t xml:space="preserve">50-32-8 </t>
    </r>
    <r>
      <rPr>
        <sz val="10"/>
        <rFont val="Arial"/>
      </rPr>
      <t xml:space="preserve"> </t>
    </r>
  </si>
  <si>
    <r>
      <t xml:space="preserve">192-97-2 </t>
    </r>
    <r>
      <rPr>
        <sz val="10"/>
        <rFont val="Arial"/>
      </rPr>
      <t xml:space="preserve"> </t>
    </r>
  </si>
  <si>
    <r>
      <t xml:space="preserve">218-01-9 </t>
    </r>
    <r>
      <rPr>
        <sz val="10"/>
        <rFont val="Arial"/>
      </rPr>
      <t xml:space="preserve"> </t>
    </r>
  </si>
  <si>
    <r>
      <t xml:space="preserve">53-70-3 </t>
    </r>
    <r>
      <rPr>
        <sz val="10"/>
        <rFont val="Arial"/>
      </rPr>
      <t xml:space="preserve"> </t>
    </r>
  </si>
  <si>
    <r>
      <t xml:space="preserve">206-44-0 </t>
    </r>
    <r>
      <rPr>
        <sz val="10"/>
        <rFont val="Arial"/>
      </rPr>
      <t xml:space="preserve"> </t>
    </r>
  </si>
  <si>
    <r>
      <t xml:space="preserve">86-73-7 </t>
    </r>
    <r>
      <rPr>
        <sz val="10"/>
        <rFont val="Arial"/>
      </rPr>
      <t xml:space="preserve"> </t>
    </r>
  </si>
  <si>
    <r>
      <t xml:space="preserve">193-39-5 </t>
    </r>
    <r>
      <rPr>
        <sz val="10"/>
        <rFont val="Arial"/>
      </rPr>
      <t xml:space="preserve"> </t>
    </r>
  </si>
  <si>
    <r>
      <t xml:space="preserve">91-57-6 </t>
    </r>
    <r>
      <rPr>
        <sz val="10"/>
        <rFont val="Arial"/>
      </rPr>
      <t xml:space="preserve"> </t>
    </r>
  </si>
  <si>
    <r>
      <t xml:space="preserve">91-20-3 </t>
    </r>
    <r>
      <rPr>
        <sz val="10"/>
        <rFont val="Arial"/>
      </rPr>
      <t xml:space="preserve"> </t>
    </r>
  </si>
  <si>
    <t>X</t>
  </si>
  <si>
    <t>108-95-2</t>
  </si>
  <si>
    <r>
      <t xml:space="preserve">Acenaphthene </t>
    </r>
    <r>
      <rPr>
        <sz val="10"/>
        <rFont val="Arial"/>
      </rPr>
      <t xml:space="preserve"> </t>
    </r>
  </si>
  <si>
    <r>
      <t xml:space="preserve">Acenaphthylene </t>
    </r>
    <r>
      <rPr>
        <sz val="10"/>
        <rFont val="Arial"/>
      </rPr>
      <t xml:space="preserve"> </t>
    </r>
  </si>
  <si>
    <r>
      <t xml:space="preserve">Anthracene </t>
    </r>
    <r>
      <rPr>
        <sz val="10"/>
        <rFont val="Arial"/>
      </rPr>
      <t xml:space="preserve"> </t>
    </r>
  </si>
  <si>
    <r>
      <t xml:space="preserve">Benzo(a)anthracene </t>
    </r>
    <r>
      <rPr>
        <sz val="10"/>
        <rFont val="Arial"/>
      </rPr>
      <t xml:space="preserve"> </t>
    </r>
  </si>
  <si>
    <r>
      <t xml:space="preserve">Benzo(b)fluoranthene </t>
    </r>
    <r>
      <rPr>
        <sz val="10"/>
        <rFont val="Arial"/>
      </rPr>
      <t xml:space="preserve"> </t>
    </r>
  </si>
  <si>
    <r>
      <t xml:space="preserve">Benzo(k)fluoranthene </t>
    </r>
    <r>
      <rPr>
        <sz val="10"/>
        <rFont val="Arial"/>
      </rPr>
      <t xml:space="preserve"> </t>
    </r>
  </si>
  <si>
    <r>
      <t xml:space="preserve">Benzo(g,h,i)perylene </t>
    </r>
    <r>
      <rPr>
        <sz val="10"/>
        <rFont val="Arial"/>
      </rPr>
      <t xml:space="preserve"> </t>
    </r>
  </si>
  <si>
    <r>
      <t xml:space="preserve">Benzo(a)pyrene </t>
    </r>
    <r>
      <rPr>
        <sz val="10"/>
        <rFont val="Arial"/>
      </rPr>
      <t xml:space="preserve"> </t>
    </r>
  </si>
  <si>
    <r>
      <t xml:space="preserve">Benzo(e)pyrene </t>
    </r>
    <r>
      <rPr>
        <sz val="10"/>
        <rFont val="Arial"/>
      </rPr>
      <t xml:space="preserve"> </t>
    </r>
  </si>
  <si>
    <r>
      <t xml:space="preserve">Chrysene </t>
    </r>
    <r>
      <rPr>
        <sz val="10"/>
        <rFont val="Arial"/>
      </rPr>
      <t xml:space="preserve"> </t>
    </r>
  </si>
  <si>
    <r>
      <t xml:space="preserve">Dibenz(a,h)anthracene </t>
    </r>
    <r>
      <rPr>
        <sz val="10"/>
        <rFont val="Arial"/>
      </rPr>
      <t xml:space="preserve"> </t>
    </r>
  </si>
  <si>
    <r>
      <t xml:space="preserve">Fluoranthene </t>
    </r>
    <r>
      <rPr>
        <sz val="10"/>
        <rFont val="Arial"/>
      </rPr>
      <t xml:space="preserve"> </t>
    </r>
  </si>
  <si>
    <r>
      <t xml:space="preserve">Fluorene </t>
    </r>
    <r>
      <rPr>
        <sz val="10"/>
        <rFont val="Arial"/>
      </rPr>
      <t xml:space="preserve"> </t>
    </r>
  </si>
  <si>
    <r>
      <t xml:space="preserve">Indeno(1,2,3-cd)pyrene </t>
    </r>
    <r>
      <rPr>
        <sz val="10"/>
        <rFont val="Arial"/>
      </rPr>
      <t xml:space="preserve"> </t>
    </r>
  </si>
  <si>
    <r>
      <t xml:space="preserve">2-Methylnaphthalene </t>
    </r>
    <r>
      <rPr>
        <sz val="10"/>
        <rFont val="Arial"/>
      </rPr>
      <t xml:space="preserve"> </t>
    </r>
  </si>
  <si>
    <r>
      <t xml:space="preserve">Naphthalene </t>
    </r>
    <r>
      <rPr>
        <sz val="10"/>
        <rFont val="Arial"/>
      </rPr>
      <t xml:space="preserve"> </t>
    </r>
  </si>
  <si>
    <r>
      <t xml:space="preserve">Phenanthrene </t>
    </r>
    <r>
      <rPr>
        <sz val="10"/>
        <rFont val="Arial"/>
      </rPr>
      <t xml:space="preserve"> </t>
    </r>
  </si>
  <si>
    <r>
      <t xml:space="preserve">Pyrene </t>
    </r>
    <r>
      <rPr>
        <sz val="10"/>
        <rFont val="Arial"/>
      </rPr>
      <t xml:space="preserve"> </t>
    </r>
  </si>
  <si>
    <r>
      <t xml:space="preserve">Phenol </t>
    </r>
    <r>
      <rPr>
        <sz val="10"/>
        <rFont val="Arial"/>
      </rPr>
      <t xml:space="preserve"> </t>
    </r>
  </si>
  <si>
    <r>
      <t xml:space="preserve">71-43-2 </t>
    </r>
    <r>
      <rPr>
        <sz val="10"/>
        <rFont val="Arial"/>
      </rPr>
      <t xml:space="preserve"> </t>
    </r>
  </si>
  <si>
    <r>
      <t xml:space="preserve">Benzene </t>
    </r>
    <r>
      <rPr>
        <sz val="10"/>
        <rFont val="Arial"/>
      </rPr>
      <t xml:space="preserve"> </t>
    </r>
  </si>
  <si>
    <r>
      <t xml:space="preserve">74-83-9 </t>
    </r>
    <r>
      <rPr>
        <sz val="10"/>
        <rFont val="Arial"/>
      </rPr>
      <t xml:space="preserve"> </t>
    </r>
  </si>
  <si>
    <r>
      <t xml:space="preserve">Bromomethane </t>
    </r>
    <r>
      <rPr>
        <sz val="10"/>
        <rFont val="Arial"/>
      </rPr>
      <t xml:space="preserve"> </t>
    </r>
  </si>
  <si>
    <r>
      <t xml:space="preserve">78-93-3 </t>
    </r>
    <r>
      <rPr>
        <sz val="10"/>
        <rFont val="Arial"/>
      </rPr>
      <t xml:space="preserve"> </t>
    </r>
  </si>
  <si>
    <r>
      <t xml:space="preserve">2-Butanone </t>
    </r>
    <r>
      <rPr>
        <sz val="10"/>
        <rFont val="Arial"/>
      </rPr>
      <t xml:space="preserve"> </t>
    </r>
  </si>
  <si>
    <r>
      <t xml:space="preserve">75-15-0 </t>
    </r>
    <r>
      <rPr>
        <sz val="10"/>
        <rFont val="Arial"/>
      </rPr>
      <t xml:space="preserve"> </t>
    </r>
  </si>
  <si>
    <r>
      <t xml:space="preserve">Carbon Disulfide </t>
    </r>
    <r>
      <rPr>
        <sz val="10"/>
        <rFont val="Arial"/>
      </rPr>
      <t xml:space="preserve"> </t>
    </r>
  </si>
  <si>
    <r>
      <t xml:space="preserve">75-00-3 </t>
    </r>
    <r>
      <rPr>
        <sz val="10"/>
        <rFont val="Arial"/>
      </rPr>
      <t xml:space="preserve"> </t>
    </r>
  </si>
  <si>
    <r>
      <t xml:space="preserve">Chloroethane </t>
    </r>
    <r>
      <rPr>
        <sz val="10"/>
        <rFont val="Arial"/>
      </rPr>
      <t xml:space="preserve"> </t>
    </r>
  </si>
  <si>
    <r>
      <t xml:space="preserve">74-87-3 </t>
    </r>
    <r>
      <rPr>
        <sz val="10"/>
        <rFont val="Arial"/>
      </rPr>
      <t xml:space="preserve"> </t>
    </r>
  </si>
  <si>
    <r>
      <t xml:space="preserve">Chloromethane </t>
    </r>
    <r>
      <rPr>
        <sz val="10"/>
        <rFont val="Arial"/>
      </rPr>
      <t xml:space="preserve"> </t>
    </r>
  </si>
  <si>
    <r>
      <t xml:space="preserve">Cumene </t>
    </r>
    <r>
      <rPr>
        <sz val="10"/>
        <rFont val="Arial"/>
      </rPr>
      <t xml:space="preserve"> </t>
    </r>
  </si>
  <si>
    <r>
      <t xml:space="preserve">100-41-4 </t>
    </r>
    <r>
      <rPr>
        <sz val="10"/>
        <rFont val="Arial"/>
      </rPr>
      <t xml:space="preserve"> </t>
    </r>
  </si>
  <si>
    <r>
      <t xml:space="preserve">Ethylbenzene </t>
    </r>
    <r>
      <rPr>
        <sz val="10"/>
        <rFont val="Arial"/>
      </rPr>
      <t xml:space="preserve"> </t>
    </r>
  </si>
  <si>
    <r>
      <t xml:space="preserve">50-00-0 </t>
    </r>
    <r>
      <rPr>
        <sz val="10"/>
        <rFont val="Arial"/>
      </rPr>
      <t xml:space="preserve"> </t>
    </r>
  </si>
  <si>
    <r>
      <t xml:space="preserve">Formaldehyde </t>
    </r>
    <r>
      <rPr>
        <sz val="10"/>
        <rFont val="Arial"/>
      </rPr>
      <t xml:space="preserve"> </t>
    </r>
  </si>
  <si>
    <r>
      <t xml:space="preserve">n-Hexane </t>
    </r>
    <r>
      <rPr>
        <sz val="10"/>
        <rFont val="Arial"/>
      </rPr>
      <t xml:space="preserve"> </t>
    </r>
  </si>
  <si>
    <r>
      <t xml:space="preserve">540-84-1 </t>
    </r>
    <r>
      <rPr>
        <sz val="10"/>
        <rFont val="Arial"/>
      </rPr>
      <t xml:space="preserve"> </t>
    </r>
  </si>
  <si>
    <r>
      <t xml:space="preserve">Isooctane </t>
    </r>
    <r>
      <rPr>
        <sz val="10"/>
        <rFont val="Arial"/>
      </rPr>
      <t xml:space="preserve"> </t>
    </r>
  </si>
  <si>
    <r>
      <t xml:space="preserve">75-09-2 </t>
    </r>
    <r>
      <rPr>
        <sz val="10"/>
        <rFont val="Arial"/>
      </rPr>
      <t xml:space="preserve"> </t>
    </r>
  </si>
  <si>
    <r>
      <t xml:space="preserve">Methylene Chloride </t>
    </r>
    <r>
      <rPr>
        <sz val="10"/>
        <rFont val="Arial"/>
      </rPr>
      <t xml:space="preserve"> </t>
    </r>
  </si>
  <si>
    <r>
      <t xml:space="preserve">100-42-5 </t>
    </r>
    <r>
      <rPr>
        <sz val="10"/>
        <rFont val="Arial"/>
      </rPr>
      <t xml:space="preserve"> </t>
    </r>
  </si>
  <si>
    <r>
      <t xml:space="preserve">Styrene </t>
    </r>
    <r>
      <rPr>
        <sz val="10"/>
        <rFont val="Arial"/>
      </rPr>
      <t xml:space="preserve"> </t>
    </r>
  </si>
  <si>
    <r>
      <t xml:space="preserve">127-18-4 </t>
    </r>
    <r>
      <rPr>
        <sz val="10"/>
        <rFont val="Arial"/>
      </rPr>
      <t xml:space="preserve"> </t>
    </r>
  </si>
  <si>
    <r>
      <t xml:space="preserve">Tetrachloroethene </t>
    </r>
    <r>
      <rPr>
        <sz val="10"/>
        <rFont val="Arial"/>
      </rPr>
      <t xml:space="preserve"> </t>
    </r>
  </si>
  <si>
    <r>
      <t xml:space="preserve">Toluene </t>
    </r>
    <r>
      <rPr>
        <sz val="10"/>
        <rFont val="Arial"/>
      </rPr>
      <t xml:space="preserve"> </t>
    </r>
  </si>
  <si>
    <r>
      <t xml:space="preserve">1330-20-7 </t>
    </r>
    <r>
      <rPr>
        <sz val="10"/>
        <rFont val="Arial"/>
      </rPr>
      <t xml:space="preserve"> </t>
    </r>
  </si>
  <si>
    <r>
      <t xml:space="preserve">m-/p-Xylene </t>
    </r>
    <r>
      <rPr>
        <sz val="10"/>
        <rFont val="Arial"/>
      </rPr>
      <t xml:space="preserve"> </t>
    </r>
  </si>
  <si>
    <r>
      <t xml:space="preserve">95-47-6 </t>
    </r>
    <r>
      <rPr>
        <sz val="10"/>
        <rFont val="Arial"/>
      </rPr>
      <t xml:space="preserve"> </t>
    </r>
  </si>
  <si>
    <r>
      <t xml:space="preserve">o-Xylene </t>
    </r>
    <r>
      <rPr>
        <sz val="10"/>
        <rFont val="Arial"/>
      </rPr>
      <t xml:space="preserve"> </t>
    </r>
  </si>
  <si>
    <r>
      <t xml:space="preserve">98-82-8 </t>
    </r>
    <r>
      <rPr>
        <sz val="10"/>
        <rFont val="Arial"/>
      </rPr>
      <t xml:space="preserve"> </t>
    </r>
  </si>
  <si>
    <r>
      <t xml:space="preserve">110-54-3 </t>
    </r>
    <r>
      <rPr>
        <sz val="10"/>
        <rFont val="Arial"/>
      </rPr>
      <t xml:space="preserve"> </t>
    </r>
  </si>
  <si>
    <r>
      <t xml:space="preserve">108-88-3 </t>
    </r>
    <r>
      <rPr>
        <sz val="10"/>
        <rFont val="Arial"/>
      </rPr>
      <t xml:space="preserve"> </t>
    </r>
  </si>
  <si>
    <t>Hexavalent chromium</t>
  </si>
  <si>
    <t>Arsenic</t>
  </si>
  <si>
    <t>Beryllium</t>
  </si>
  <si>
    <t>Cadmium</t>
  </si>
  <si>
    <t>Lead</t>
  </si>
  <si>
    <t>Mercury</t>
  </si>
  <si>
    <t>Nickel</t>
  </si>
  <si>
    <t>71-43-2</t>
  </si>
  <si>
    <r>
      <t xml:space="preserve"> </t>
    </r>
    <r>
      <rPr>
        <sz val="9.9"/>
        <color indexed="8"/>
        <rFont val="Arial"/>
        <family val="2"/>
      </rPr>
      <t>1.1x10</t>
    </r>
    <r>
      <rPr>
        <sz val="6"/>
        <color indexed="8"/>
        <rFont val="Arial"/>
        <family val="2"/>
      </rPr>
      <t xml:space="preserve">-5 </t>
    </r>
    <r>
      <rPr>
        <sz val="10"/>
        <rFont val="Arial"/>
      </rPr>
      <t xml:space="preserve"> </t>
    </r>
  </si>
  <si>
    <r>
      <t xml:space="preserve"> </t>
    </r>
    <r>
      <rPr>
        <sz val="9.9"/>
        <color indexed="8"/>
        <rFont val="Arial"/>
        <family val="2"/>
      </rPr>
      <t xml:space="preserve">50,164 </t>
    </r>
    <r>
      <rPr>
        <sz val="10"/>
        <rFont val="Arial"/>
      </rPr>
      <t xml:space="preserve"> </t>
    </r>
  </si>
  <si>
    <r>
      <t xml:space="preserve"> </t>
    </r>
    <r>
      <rPr>
        <sz val="9.9"/>
        <color indexed="8"/>
        <rFont val="Arial"/>
        <family val="2"/>
      </rPr>
      <t xml:space="preserve">0.00065 </t>
    </r>
    <r>
      <rPr>
        <sz val="10"/>
        <rFont val="Arial"/>
      </rPr>
      <t xml:space="preserve"> </t>
    </r>
  </si>
  <si>
    <r>
      <t xml:space="preserve"> </t>
    </r>
    <r>
      <rPr>
        <sz val="9.9"/>
        <color indexed="8"/>
        <rFont val="Arial"/>
        <family val="2"/>
      </rPr>
      <t xml:space="preserve">25,50,162,164 </t>
    </r>
    <r>
      <rPr>
        <sz val="10"/>
        <rFont val="Arial"/>
      </rPr>
      <t xml:space="preserve"> </t>
    </r>
  </si>
  <si>
    <r>
      <t xml:space="preserve"> </t>
    </r>
    <r>
      <rPr>
        <sz val="9.9"/>
        <color indexed="8"/>
        <rFont val="Arial"/>
        <family val="2"/>
      </rPr>
      <t>2.3x10</t>
    </r>
    <r>
      <rPr>
        <sz val="6"/>
        <color indexed="8"/>
        <rFont val="Arial"/>
        <family val="2"/>
      </rPr>
      <t xml:space="preserve">-5 </t>
    </r>
    <r>
      <rPr>
        <sz val="10"/>
        <rFont val="Arial"/>
      </rPr>
      <t xml:space="preserve"> </t>
    </r>
  </si>
  <si>
    <r>
      <t xml:space="preserve"> </t>
    </r>
    <r>
      <rPr>
        <sz val="9.9"/>
        <color indexed="8"/>
        <rFont val="Arial"/>
        <family val="2"/>
      </rPr>
      <t xml:space="preserve">50,162,164 </t>
    </r>
    <r>
      <rPr>
        <sz val="10"/>
        <rFont val="Arial"/>
      </rPr>
      <t xml:space="preserve"> </t>
    </r>
  </si>
  <si>
    <r>
      <t xml:space="preserve"> </t>
    </r>
    <r>
      <rPr>
        <sz val="9.9"/>
        <color indexed="8"/>
        <rFont val="Arial"/>
        <family val="2"/>
      </rPr>
      <t>3.0x10</t>
    </r>
    <r>
      <rPr>
        <sz val="6"/>
        <color indexed="8"/>
        <rFont val="Arial"/>
        <family val="2"/>
      </rPr>
      <t xml:space="preserve">-6 </t>
    </r>
    <r>
      <rPr>
        <sz val="10"/>
        <rFont val="Arial"/>
      </rPr>
      <t xml:space="preserve"> </t>
    </r>
  </si>
  <si>
    <t>POM</t>
  </si>
  <si>
    <t>85-01-8</t>
  </si>
  <si>
    <t>Perylene</t>
  </si>
  <si>
    <t>Table 11.1-12</t>
  </si>
  <si>
    <t>Controlled Factors</t>
  </si>
  <si>
    <t>744-038-2</t>
  </si>
  <si>
    <t>744-041-7</t>
  </si>
  <si>
    <t>744-043-9</t>
  </si>
  <si>
    <t>743-997-6</t>
  </si>
  <si>
    <t>744-002-0</t>
  </si>
  <si>
    <r>
      <t xml:space="preserve">100-41-4 </t>
    </r>
    <r>
      <rPr>
        <sz val="10"/>
        <rFont val="Arial"/>
      </rPr>
      <t xml:space="preserve"> </t>
    </r>
  </si>
  <si>
    <r>
      <t xml:space="preserve">50-00-0 </t>
    </r>
    <r>
      <rPr>
        <sz val="10"/>
        <rFont val="Arial"/>
      </rPr>
      <t xml:space="preserve"> </t>
    </r>
  </si>
  <si>
    <r>
      <t xml:space="preserve">110-54-3 </t>
    </r>
    <r>
      <rPr>
        <sz val="10"/>
        <rFont val="Arial"/>
      </rPr>
      <t xml:space="preserve"> </t>
    </r>
  </si>
  <si>
    <r>
      <t xml:space="preserve">540-84-1 </t>
    </r>
    <r>
      <rPr>
        <sz val="10"/>
        <rFont val="Arial"/>
      </rPr>
      <t xml:space="preserve"> </t>
    </r>
  </si>
  <si>
    <r>
      <t xml:space="preserve">71-55-6 </t>
    </r>
    <r>
      <rPr>
        <sz val="10"/>
        <rFont val="Arial"/>
      </rPr>
      <t xml:space="preserve"> </t>
    </r>
  </si>
  <si>
    <r>
      <t xml:space="preserve">108-88-3 </t>
    </r>
    <r>
      <rPr>
        <sz val="10"/>
        <rFont val="Arial"/>
      </rPr>
      <t xml:space="preserve"> </t>
    </r>
  </si>
  <si>
    <r>
      <t xml:space="preserve">1330-20-7 </t>
    </r>
    <r>
      <rPr>
        <sz val="10"/>
        <rFont val="Arial"/>
      </rPr>
      <t xml:space="preserve"> </t>
    </r>
  </si>
  <si>
    <r>
      <t xml:space="preserve">91-57-6 </t>
    </r>
    <r>
      <rPr>
        <sz val="10"/>
        <rFont val="Arial"/>
      </rPr>
      <t xml:space="preserve"> </t>
    </r>
  </si>
  <si>
    <r>
      <t xml:space="preserve">83-32-9 </t>
    </r>
    <r>
      <rPr>
        <sz val="10"/>
        <rFont val="Arial"/>
      </rPr>
      <t xml:space="preserve"> </t>
    </r>
  </si>
  <si>
    <r>
      <t xml:space="preserve">208-96-8 </t>
    </r>
    <r>
      <rPr>
        <sz val="10"/>
        <rFont val="Arial"/>
      </rPr>
      <t xml:space="preserve"> </t>
    </r>
  </si>
  <si>
    <r>
      <t xml:space="preserve">120-12-7 </t>
    </r>
    <r>
      <rPr>
        <sz val="10"/>
        <rFont val="Arial"/>
      </rPr>
      <t xml:space="preserve"> </t>
    </r>
  </si>
  <si>
    <r>
      <t xml:space="preserve">56-55-3 </t>
    </r>
    <r>
      <rPr>
        <sz val="10"/>
        <rFont val="Arial"/>
      </rPr>
      <t xml:space="preserve"> </t>
    </r>
  </si>
  <si>
    <r>
      <t xml:space="preserve">50-32-8 </t>
    </r>
    <r>
      <rPr>
        <sz val="10"/>
        <rFont val="Arial"/>
      </rPr>
      <t xml:space="preserve"> </t>
    </r>
  </si>
  <si>
    <r>
      <t xml:space="preserve">205-99-2 </t>
    </r>
    <r>
      <rPr>
        <sz val="10"/>
        <rFont val="Arial"/>
      </rPr>
      <t xml:space="preserve"> </t>
    </r>
  </si>
  <si>
    <r>
      <t xml:space="preserve">192-97-2 </t>
    </r>
    <r>
      <rPr>
        <sz val="10"/>
        <rFont val="Arial"/>
      </rPr>
      <t xml:space="preserve"> </t>
    </r>
  </si>
  <si>
    <r>
      <t xml:space="preserve">191-24-2 </t>
    </r>
    <r>
      <rPr>
        <sz val="10"/>
        <rFont val="Arial"/>
      </rPr>
      <t xml:space="preserve"> </t>
    </r>
  </si>
  <si>
    <r>
      <t xml:space="preserve">207-08-9 </t>
    </r>
    <r>
      <rPr>
        <sz val="10"/>
        <rFont val="Arial"/>
      </rPr>
      <t xml:space="preserve"> </t>
    </r>
  </si>
  <si>
    <r>
      <t xml:space="preserve">218-01-9 </t>
    </r>
    <r>
      <rPr>
        <sz val="10"/>
        <rFont val="Arial"/>
      </rPr>
      <t xml:space="preserve"> </t>
    </r>
  </si>
  <si>
    <r>
      <t xml:space="preserve">206-44-0 </t>
    </r>
    <r>
      <rPr>
        <sz val="10"/>
        <rFont val="Arial"/>
      </rPr>
      <t xml:space="preserve"> </t>
    </r>
  </si>
  <si>
    <r>
      <t xml:space="preserve">86-73-7 </t>
    </r>
    <r>
      <rPr>
        <sz val="10"/>
        <rFont val="Arial"/>
      </rPr>
      <t xml:space="preserve"> </t>
    </r>
  </si>
  <si>
    <r>
      <t xml:space="preserve">193-39-5 </t>
    </r>
    <r>
      <rPr>
        <sz val="10"/>
        <rFont val="Arial"/>
      </rPr>
      <t xml:space="preserve"> </t>
    </r>
  </si>
  <si>
    <r>
      <t xml:space="preserve">91-20-3 </t>
    </r>
    <r>
      <rPr>
        <sz val="10"/>
        <rFont val="Arial"/>
      </rPr>
      <t xml:space="preserve"> </t>
    </r>
  </si>
  <si>
    <r>
      <t xml:space="preserve">198-55-0 </t>
    </r>
    <r>
      <rPr>
        <sz val="10"/>
        <rFont val="Arial"/>
      </rPr>
      <t xml:space="preserve"> </t>
    </r>
  </si>
  <si>
    <r>
      <t xml:space="preserve">85-01-8 </t>
    </r>
    <r>
      <rPr>
        <sz val="10"/>
        <rFont val="Arial"/>
      </rPr>
      <t xml:space="preserve"> </t>
    </r>
  </si>
  <si>
    <r>
      <t xml:space="preserve">129-00-0 </t>
    </r>
    <r>
      <rPr>
        <sz val="10"/>
        <rFont val="Arial"/>
      </rPr>
      <t xml:space="preserve"> </t>
    </r>
  </si>
  <si>
    <r>
      <t xml:space="preserve">Ethylbenzene </t>
    </r>
    <r>
      <rPr>
        <sz val="10"/>
        <rFont val="Arial"/>
      </rPr>
      <t xml:space="preserve"> </t>
    </r>
  </si>
  <si>
    <r>
      <t xml:space="preserve">Hexane </t>
    </r>
    <r>
      <rPr>
        <sz val="10"/>
        <rFont val="Arial"/>
      </rPr>
      <t xml:space="preserve"> </t>
    </r>
  </si>
  <si>
    <r>
      <t xml:space="preserve">Isooctane (2,2,4-trimethylpentane) </t>
    </r>
    <r>
      <rPr>
        <sz val="10"/>
        <rFont val="Arial"/>
      </rPr>
      <t xml:space="preserve"> </t>
    </r>
  </si>
  <si>
    <r>
      <t xml:space="preserve">Toluene </t>
    </r>
    <r>
      <rPr>
        <sz val="10"/>
        <rFont val="Arial"/>
      </rPr>
      <t xml:space="preserve"> </t>
    </r>
  </si>
  <si>
    <r>
      <t xml:space="preserve">Xylene </t>
    </r>
    <r>
      <rPr>
        <sz val="10"/>
        <rFont val="Arial"/>
      </rPr>
      <t xml:space="preserve"> </t>
    </r>
  </si>
  <si>
    <t>Benzene</t>
  </si>
  <si>
    <t>Formaldehyde</t>
  </si>
  <si>
    <t>Methyl chloroform</t>
  </si>
  <si>
    <t>2-Methylnaphthalene</t>
  </si>
  <si>
    <t>Acenaphthene</t>
  </si>
  <si>
    <t>Acenaphthylene</t>
  </si>
  <si>
    <t>Anthracene</t>
  </si>
  <si>
    <t>Benzo(a)anthracene</t>
  </si>
  <si>
    <t>Benzo(a)pyrene</t>
  </si>
  <si>
    <t>Benzo(b)fluoranthene</t>
  </si>
  <si>
    <t>Benzo(e)pyrene</t>
  </si>
  <si>
    <t>Benzo(g,h,i)perylene</t>
  </si>
  <si>
    <t>Benzo(k)fluoranthene</t>
  </si>
  <si>
    <t>Chrysene</t>
  </si>
  <si>
    <t>Fluoranthene</t>
  </si>
  <si>
    <t>Fluorene</t>
  </si>
  <si>
    <t>Indeno(1,2,3-cd)pyrene</t>
  </si>
  <si>
    <t>Naphthalene</t>
  </si>
  <si>
    <t>Phenanthrene</t>
  </si>
  <si>
    <t>Pyrene</t>
  </si>
  <si>
    <t>Metals</t>
  </si>
  <si>
    <t>11.1-12</t>
  </si>
  <si>
    <t>(lb/day)</t>
  </si>
  <si>
    <t>Non-PAH, HAPs</t>
  </si>
  <si>
    <t>PAH, HAPs</t>
  </si>
  <si>
    <t>Lime Silo Loading</t>
  </si>
  <si>
    <t>Table 11.17-4</t>
  </si>
  <si>
    <t>Controlled (8,760 hr/yr)</t>
  </si>
  <si>
    <t>Control Eff.</t>
  </si>
  <si>
    <t>%</t>
  </si>
  <si>
    <t>Fabric Filter Controlled</t>
  </si>
  <si>
    <t>Drum Hot Mix Asphalt Production Air Toxics</t>
  </si>
  <si>
    <t>Furans</t>
  </si>
  <si>
    <t>Table 11.1-10</t>
  </si>
  <si>
    <t>Dioxins</t>
  </si>
  <si>
    <t>Emission Factors</t>
  </si>
  <si>
    <t>%S.Loading PM</t>
  </si>
  <si>
    <t>Loadout</t>
  </si>
  <si>
    <t>S.Loading</t>
  </si>
  <si>
    <t>Emission Rates</t>
  </si>
  <si>
    <t>HAPs from PM</t>
  </si>
  <si>
    <t>Table 11.1-15</t>
  </si>
  <si>
    <t>Semi-Vol., HAP</t>
  </si>
  <si>
    <t>Load out &amp; Storage Silo Air Toxics</t>
  </si>
  <si>
    <t>Load out TOC (lb/hr)</t>
  </si>
  <si>
    <t>Storage silo loading TOC (lb/hr)</t>
  </si>
  <si>
    <t>Purple values are pulled from other worksheet</t>
  </si>
  <si>
    <t xml:space="preserve">Acenaphthene  </t>
  </si>
  <si>
    <t xml:space="preserve">Acenaphthylene  </t>
  </si>
  <si>
    <t xml:space="preserve">Anthracene  </t>
  </si>
  <si>
    <t xml:space="preserve">Benzo(a)anthracene  </t>
  </si>
  <si>
    <t xml:space="preserve">Benzo(b)fluoranthene  </t>
  </si>
  <si>
    <t xml:space="preserve">207-08-9  </t>
  </si>
  <si>
    <t xml:space="preserve">Benzo(k)fluoranthene  </t>
  </si>
  <si>
    <t xml:space="preserve">191-24-2  </t>
  </si>
  <si>
    <t xml:space="preserve">Benzo(g,h,i)perylene  </t>
  </si>
  <si>
    <t xml:space="preserve">Benzo(a)pyrene  </t>
  </si>
  <si>
    <t xml:space="preserve">Benzo(e)pyrene  </t>
  </si>
  <si>
    <t xml:space="preserve">218-01-9  </t>
  </si>
  <si>
    <t xml:space="preserve">Chrysene  </t>
  </si>
  <si>
    <t xml:space="preserve">53-70-3  </t>
  </si>
  <si>
    <t xml:space="preserve">Dibenz(a,h)anthracene  </t>
  </si>
  <si>
    <t xml:space="preserve">206-44-0  </t>
  </si>
  <si>
    <t xml:space="preserve">Fluoranthene  </t>
  </si>
  <si>
    <t xml:space="preserve">86-73-7  </t>
  </si>
  <si>
    <t xml:space="preserve">Fluorene  </t>
  </si>
  <si>
    <t xml:space="preserve">193-39-5  </t>
  </si>
  <si>
    <t xml:space="preserve">Indeno(1,2,3-cd)pyrene  </t>
  </si>
  <si>
    <t xml:space="preserve">2-Methylnaphthalene  </t>
  </si>
  <si>
    <t xml:space="preserve">91-20-3  </t>
  </si>
  <si>
    <t xml:space="preserve">Naphthalene  </t>
  </si>
  <si>
    <t xml:space="preserve">85-01-8  </t>
  </si>
  <si>
    <t xml:space="preserve">Phenanthrene  </t>
  </si>
  <si>
    <t xml:space="preserve">129-00-0  </t>
  </si>
  <si>
    <t xml:space="preserve">Pyrene  </t>
  </si>
  <si>
    <t xml:space="preserve">Phenol  </t>
  </si>
  <si>
    <t xml:space="preserve">Benzene  </t>
  </si>
  <si>
    <t xml:space="preserve">74-83-9  </t>
  </si>
  <si>
    <t xml:space="preserve">Bromomethane  </t>
  </si>
  <si>
    <t xml:space="preserve">2-Butanone  </t>
  </si>
  <si>
    <t xml:space="preserve">75-15-0  </t>
  </si>
  <si>
    <t xml:space="preserve">Carbon Disulfide  </t>
  </si>
  <si>
    <t xml:space="preserve">75-00-3  </t>
  </si>
  <si>
    <t xml:space="preserve">Chloroethane  </t>
  </si>
  <si>
    <t xml:space="preserve">74-87-3  </t>
  </si>
  <si>
    <t xml:space="preserve">Chloromethane  </t>
  </si>
  <si>
    <t xml:space="preserve">98-82-8  </t>
  </si>
  <si>
    <t xml:space="preserve">Cumene  </t>
  </si>
  <si>
    <t xml:space="preserve">100-41-4  </t>
  </si>
  <si>
    <t xml:space="preserve">Ethylbenzene  </t>
  </si>
  <si>
    <t xml:space="preserve">50-00-0  </t>
  </si>
  <si>
    <t xml:space="preserve">Formaldehyde  </t>
  </si>
  <si>
    <t xml:space="preserve">110-54-3  </t>
  </si>
  <si>
    <t xml:space="preserve">540-84-1  </t>
  </si>
  <si>
    <t xml:space="preserve">Isooctane  </t>
  </si>
  <si>
    <t xml:space="preserve">75-09-2  </t>
  </si>
  <si>
    <t xml:space="preserve">Methylene Chloride  </t>
  </si>
  <si>
    <t xml:space="preserve">100-42-5  </t>
  </si>
  <si>
    <t xml:space="preserve">Styrene  </t>
  </si>
  <si>
    <t xml:space="preserve">127-18-4  </t>
  </si>
  <si>
    <t xml:space="preserve">Tetrachloroethene  </t>
  </si>
  <si>
    <t xml:space="preserve">108-88-3  </t>
  </si>
  <si>
    <t xml:space="preserve">Toluene  </t>
  </si>
  <si>
    <t xml:space="preserve">1330-20-7  </t>
  </si>
  <si>
    <t xml:space="preserve">95-47-6  </t>
  </si>
  <si>
    <t xml:space="preserve">o-Xylene  </t>
  </si>
  <si>
    <t>Emission Rate</t>
  </si>
  <si>
    <t>Worse Case Totals</t>
  </si>
  <si>
    <t>71-55-6</t>
  </si>
  <si>
    <t>78-93-3</t>
  </si>
  <si>
    <t>91-57-6</t>
  </si>
  <si>
    <t>83-32-9</t>
  </si>
  <si>
    <t>208-96-8</t>
  </si>
  <si>
    <t>56-55-3</t>
  </si>
  <si>
    <t>50-32-8</t>
  </si>
  <si>
    <t>205-99-2</t>
  </si>
  <si>
    <t>192-97-2</t>
  </si>
  <si>
    <t xml:space="preserve">Hexane  </t>
  </si>
  <si>
    <t xml:space="preserve">Xylene  </t>
  </si>
  <si>
    <t>198-55-0</t>
  </si>
  <si>
    <t>120-12-7</t>
  </si>
  <si>
    <t>Isooctane</t>
  </si>
  <si>
    <t xml:space="preserve">POM = Polycyclic Organic Matter, a type of HAP </t>
  </si>
  <si>
    <t>Below?</t>
  </si>
  <si>
    <t>HAP Totals</t>
  </si>
  <si>
    <t>All Air Toxics</t>
  </si>
  <si>
    <t>Any individual over 10 TPY?</t>
  </si>
  <si>
    <t>Total Air Toxics</t>
  </si>
  <si>
    <t>Methyl Bromide*</t>
  </si>
  <si>
    <t>MEK*</t>
  </si>
  <si>
    <t>Ethyl Chloride*</t>
  </si>
  <si>
    <t>Methyl Chloride*</t>
  </si>
  <si>
    <t>2,2,4-Trimethylpentane*</t>
  </si>
  <si>
    <t>+</t>
  </si>
  <si>
    <t>*The names of these pollutants have been changed to those used in Std. 8, if applicable</t>
  </si>
  <si>
    <t>Chromium</t>
  </si>
  <si>
    <t>Cobalt</t>
  </si>
  <si>
    <t>Selenium</t>
  </si>
  <si>
    <t>1854-029-9</t>
  </si>
  <si>
    <t>778-249-2</t>
  </si>
  <si>
    <t>744-048-4</t>
  </si>
  <si>
    <t>744-047-3</t>
  </si>
  <si>
    <t xml:space="preserve">1746-01-6  </t>
  </si>
  <si>
    <t>2,3,7,8-TCDD*</t>
  </si>
  <si>
    <t>*Also contained in the Dioxins total</t>
  </si>
  <si>
    <t>Total**</t>
  </si>
  <si>
    <t>**2,3,7,8-TCDD is not counted as a HAP twice</t>
  </si>
  <si>
    <t xml:space="preserve">(ton/yr) </t>
  </si>
  <si>
    <t>Potential</t>
  </si>
  <si>
    <t>Limited</t>
  </si>
  <si>
    <t>De minimis Analysis</t>
  </si>
  <si>
    <t>De minimis Rate</t>
  </si>
  <si>
    <t>Controlled</t>
  </si>
  <si>
    <t>Uncontrolled Potential (8,760 hr/yr)</t>
  </si>
  <si>
    <t>Y</t>
  </si>
  <si>
    <t>Potential (8,760 hr/yr)</t>
  </si>
  <si>
    <t>Load Out &amp; HMA Storage Silo Loading Criteria Pollutants</t>
  </si>
  <si>
    <t>Batch Hot Mix Asphalt Production Criteria Pollutants</t>
  </si>
  <si>
    <t>Waste Oil</t>
  </si>
  <si>
    <t>Temp</t>
  </si>
  <si>
    <t>Volatility</t>
  </si>
  <si>
    <t>SO2/NOX</t>
  </si>
  <si>
    <t>Table 11.1-7</t>
  </si>
  <si>
    <t>Fuel Oil/Waste Oil</t>
  </si>
  <si>
    <t>Facility Profile</t>
  </si>
  <si>
    <t>(Y or N)</t>
  </si>
  <si>
    <t>(ton HMA/hr)</t>
  </si>
  <si>
    <t>Plant Max. Rating-</t>
  </si>
  <si>
    <t>Type of Plant-</t>
  </si>
  <si>
    <t>Natural Gas-</t>
  </si>
  <si>
    <t>Waste Oil-</t>
  </si>
  <si>
    <t>(ton HMA/yr)</t>
  </si>
  <si>
    <t>(10^6 BTU/hr)</t>
  </si>
  <si>
    <t>Asphalt Properties</t>
  </si>
  <si>
    <t>Tempurature-</t>
  </si>
  <si>
    <t>Volatility-</t>
  </si>
  <si>
    <t>Hot Oil Heater Size-</t>
  </si>
  <si>
    <t>(F)</t>
  </si>
  <si>
    <t>(unitless)</t>
  </si>
  <si>
    <t>DO NOT TOUCH</t>
  </si>
  <si>
    <t>Hours per year at full capacity to reach production limit</t>
  </si>
  <si>
    <t>Bin Vent Efficiency-</t>
  </si>
  <si>
    <t>(%)</t>
  </si>
  <si>
    <t>Bin Vent Efficiency</t>
  </si>
  <si>
    <t>N</t>
  </si>
  <si>
    <t>Hours/yr</t>
  </si>
  <si>
    <t>75-07-0</t>
  </si>
  <si>
    <t>107-02-8</t>
  </si>
  <si>
    <t>123-38-6</t>
  </si>
  <si>
    <t>106-51-4</t>
  </si>
  <si>
    <t>MEK</t>
  </si>
  <si>
    <t>Propionaldehyde</t>
  </si>
  <si>
    <t>Quinone</t>
  </si>
  <si>
    <t>Acetaldhyde</t>
  </si>
  <si>
    <t>Acrolein</t>
  </si>
  <si>
    <t>Waste Oil Only</t>
  </si>
  <si>
    <t>Load out Organic PM (lb/hr)</t>
  </si>
  <si>
    <t>Storage silo loading Organic PM (lb/hr)</t>
  </si>
  <si>
    <t>Drum</t>
  </si>
  <si>
    <t>Batch</t>
  </si>
  <si>
    <t>Types</t>
  </si>
  <si>
    <t>Drop-Down Output</t>
  </si>
  <si>
    <t>Table 11.1-1</t>
  </si>
  <si>
    <t>PM2.5</t>
  </si>
  <si>
    <t>Table 11.1-4</t>
  </si>
  <si>
    <t>Table 11.1-2</t>
  </si>
  <si>
    <t>Fuel Oil</t>
  </si>
  <si>
    <t>Table 11.1.-5</t>
  </si>
  <si>
    <t>Table 11.1-5</t>
  </si>
  <si>
    <t>Table 11.1-6</t>
  </si>
  <si>
    <t>Natural Gas/Fuel Oil</t>
  </si>
  <si>
    <t>Table 11.1-11</t>
  </si>
  <si>
    <t>11.1-11</t>
  </si>
  <si>
    <t>743-996-5</t>
  </si>
  <si>
    <t>Manganese</t>
  </si>
  <si>
    <t>Acetaldehyde</t>
  </si>
  <si>
    <t>53-70-3</t>
  </si>
  <si>
    <t>Dibenz(a,h)anthracene</t>
  </si>
  <si>
    <t>Table 11.1-9</t>
  </si>
  <si>
    <t xml:space="preserve">91-57-6  </t>
  </si>
  <si>
    <t xml:space="preserve">83-32-9  </t>
  </si>
  <si>
    <t xml:space="preserve">208-96-8  </t>
  </si>
  <si>
    <t xml:space="preserve">120-12-7  </t>
  </si>
  <si>
    <t xml:space="preserve">56-55-3  </t>
  </si>
  <si>
    <t xml:space="preserve">50-32-8  </t>
  </si>
  <si>
    <t xml:space="preserve">205-99-2  </t>
  </si>
  <si>
    <t>Criteria Pollutants</t>
  </si>
  <si>
    <t>Production</t>
  </si>
  <si>
    <t>Lime Silo</t>
  </si>
  <si>
    <t>LO/SL</t>
  </si>
  <si>
    <t>Directions -</t>
  </si>
  <si>
    <t xml:space="preserve">Enter the facility's information below. Hint, write the letter "Y" or "N" next to each fuel type to indicate that the facility does or does not burn that type of fuel. </t>
  </si>
  <si>
    <t>The criteria pollutants for the facility will be displayed under the "Output - Criteria." Excel chooses the correct criteria pollutant emission rate depending on the type of mix and fuels used. The Air Toxics are available on two other tabs depending on the mix type. For Drum Mix Air Toxics, choose the "Output - Drum.Toxics" tab; for Batch Mix, choose the "Output - Batch.Toxics" tab. On the air toxics tabs the most important information is the HAP total at the bottom of the HAP potential and limited columns and any toxic that has a "N" in the "De Minimis?" column.</t>
  </si>
  <si>
    <t>Distillate (#2) Oil Fired (10 - 100 mmbtu/hr)</t>
  </si>
  <si>
    <t>Source:  AP-42 5th Ed, Tables 1.3-1,-2,-3,-6 9/98 Update</t>
  </si>
  <si>
    <t>#4 Oil Fired (&lt; 10 mmbtu/hr)</t>
  </si>
  <si>
    <t>#4 Oil Fired (10 - 100 mmbtu/hr)</t>
  </si>
  <si>
    <t>Source:  AP-42 5th Ed, Tables 1.3-1,-2,-3,-5 9/98 Update</t>
  </si>
  <si>
    <t>#6 Oil Fired (&lt; 10 mmbtu/hr)</t>
  </si>
  <si>
    <t>#6 Oil Fired (10 - 100 mmbtu/hr)</t>
  </si>
  <si>
    <t>% Ash:</t>
  </si>
  <si>
    <t>Source:  AP-42 5th Ed, Tables 1.11-1,-2, -3, 10/96 Update</t>
  </si>
  <si>
    <t>Distillate (#2) Oil Fired</t>
  </si>
  <si>
    <t>#4 Oil Fired</t>
  </si>
  <si>
    <t>#6 Oil Fired</t>
  </si>
  <si>
    <t>No. 2 Fuel Oil-</t>
  </si>
  <si>
    <t>No. 4 Fuel Oil-</t>
  </si>
  <si>
    <t>No. 6 Fuel Oil-</t>
  </si>
  <si>
    <t>Fuels</t>
  </si>
  <si>
    <t>Picks Between &lt;10 &amp; &gt;10</t>
  </si>
  <si>
    <t>Cutout in case this fuel isn't ran</t>
  </si>
  <si>
    <t>Sulfur %</t>
  </si>
  <si>
    <t>No. 5 Fuel Oil-</t>
  </si>
  <si>
    <t>#5 Oil Fired (&lt; 10 mmbtu/hr)</t>
  </si>
  <si>
    <t>#5 Oil Fired (10 - 100 mmbtu/hr)</t>
  </si>
  <si>
    <t>#5 Oil Fired</t>
  </si>
  <si>
    <t>Hot Oil Heater</t>
  </si>
  <si>
    <t>Total(w/HOH)</t>
  </si>
  <si>
    <t>POMs Total</t>
  </si>
  <si>
    <t>POMs Totals</t>
  </si>
  <si>
    <t>7647-01-0</t>
  </si>
  <si>
    <t>Hydrochloric Acid</t>
  </si>
  <si>
    <t>7467-01-0</t>
  </si>
  <si>
    <t>CO2</t>
  </si>
  <si>
    <t>CH4</t>
  </si>
  <si>
    <t>N2O</t>
  </si>
  <si>
    <t>Burner Size-</t>
  </si>
  <si>
    <t>(MMBTU/hr)</t>
  </si>
  <si>
    <t>Production Limit Needed</t>
  </si>
  <si>
    <t>GWPs</t>
  </si>
  <si>
    <t>Max Lime Usage-</t>
  </si>
  <si>
    <t>(weight %)</t>
  </si>
  <si>
    <t>Default = 1</t>
  </si>
  <si>
    <t>Max Hourly Lime Loading-</t>
  </si>
  <si>
    <t>(ton)</t>
  </si>
  <si>
    <t>Default = 25</t>
  </si>
  <si>
    <t>Default = 99</t>
  </si>
  <si>
    <t>Lime used per year at PTE Production (ton)</t>
  </si>
  <si>
    <t>Lime used per year at Limited Production (ton)</t>
  </si>
  <si>
    <t>Max Hourly Load (ton)</t>
  </si>
  <si>
    <t>Assumed</t>
  </si>
  <si>
    <t>Totals**:</t>
  </si>
  <si>
    <t>GHGs</t>
  </si>
  <si>
    <t>Mass Total</t>
  </si>
  <si>
    <t>CO2e Total</t>
  </si>
  <si>
    <t>Greenhouse Gas Emissions</t>
  </si>
  <si>
    <t>Burner Rating (MMBTU/hr)</t>
  </si>
  <si>
    <t>Hot Oil Heater Rating (MMBTU/hr)</t>
  </si>
  <si>
    <t>Emission Factors (kg/MMBTU)</t>
  </si>
  <si>
    <r>
      <t>CO</t>
    </r>
    <r>
      <rPr>
        <b/>
        <vertAlign val="subscript"/>
        <sz val="10"/>
        <color indexed="8"/>
        <rFont val="Times New Roman"/>
        <family val="1"/>
      </rPr>
      <t>2</t>
    </r>
  </si>
  <si>
    <r>
      <t>CH</t>
    </r>
    <r>
      <rPr>
        <b/>
        <vertAlign val="subscript"/>
        <sz val="10"/>
        <color indexed="8"/>
        <rFont val="Times New Roman"/>
        <family val="1"/>
      </rPr>
      <t>4</t>
    </r>
  </si>
  <si>
    <r>
      <t>N</t>
    </r>
    <r>
      <rPr>
        <b/>
        <vertAlign val="subscript"/>
        <sz val="10"/>
        <color indexed="8"/>
        <rFont val="Times New Roman"/>
        <family val="1"/>
      </rPr>
      <t>2</t>
    </r>
    <r>
      <rPr>
        <b/>
        <sz val="10"/>
        <color indexed="8"/>
        <rFont val="Times New Roman"/>
        <family val="1"/>
      </rPr>
      <t>O</t>
    </r>
  </si>
  <si>
    <t>Production Total</t>
  </si>
  <si>
    <t>Hot Oil Heater Total</t>
  </si>
  <si>
    <t>Emission factors from 40 CFR 98, Tables C-1 and C-2</t>
  </si>
  <si>
    <t>No. 2 Fuel Oil</t>
  </si>
  <si>
    <t>No. 4 Fuel Oil</t>
  </si>
  <si>
    <t>No. 5 Fuel Oil</t>
  </si>
  <si>
    <t>No. 6 Fuel Oil</t>
  </si>
  <si>
    <t>Emission Rates (lb/hr)</t>
  </si>
  <si>
    <t>Asphalt Plant Potential to Emit Estimator</t>
  </si>
  <si>
    <t>Revisions</t>
  </si>
  <si>
    <t>Date</t>
  </si>
  <si>
    <t>Author</t>
  </si>
  <si>
    <t>Change(s)</t>
  </si>
  <si>
    <t>Christopher Hardee, P.E.</t>
  </si>
  <si>
    <t>Added title and revision date to every page</t>
  </si>
  <si>
    <t>Adjusted page break layouts</t>
  </si>
  <si>
    <t>Added headers to every page</t>
  </si>
  <si>
    <t>Added GHG emissions</t>
  </si>
  <si>
    <t>Added HCl emissions</t>
  </si>
  <si>
    <t>Revised lime silo calculations to be based on % lime usage in mixture</t>
  </si>
  <si>
    <t>Added standard disclaimer</t>
  </si>
  <si>
    <t>This spreadsheet helps estimate a facility's potential to emit. It is provided for the convenience of the permitted community. DHEC does not guarantee the accuracy or appropriateness of this information. Emission factor sources are subject to revision or correction. It is the permittee's responsibility to verify the accuracy of the information. DHEC is not liable for errors or omissions.</t>
  </si>
  <si>
    <t>Heat Input (MMBTU/hr)</t>
  </si>
  <si>
    <t>Added Revision page</t>
  </si>
  <si>
    <t>(MPH)</t>
  </si>
  <si>
    <t>Documentation will need to be proved to support the use of different values.</t>
  </si>
  <si>
    <t>Default Parameters</t>
  </si>
  <si>
    <t>Aggregate Properties</t>
  </si>
  <si>
    <t>Mean Wind Speed-</t>
  </si>
  <si>
    <t>Aggregate</t>
  </si>
  <si>
    <t>Max. RAP Used-</t>
  </si>
  <si>
    <t># of Virgin Agg. Conveyors-</t>
  </si>
  <si>
    <t># of Virgin Agg. Screens-</t>
  </si>
  <si>
    <t># of RAP Conveyors-</t>
  </si>
  <si>
    <t># of RAP Screens-</t>
  </si>
  <si>
    <t>Weather</t>
  </si>
  <si>
    <t>(# days/yr)</t>
  </si>
  <si>
    <t>Days precip &gt; 0.01 in-</t>
  </si>
  <si>
    <t>Time Wind Speed &gt;12 MPH-</t>
  </si>
  <si>
    <t>(#)</t>
  </si>
  <si>
    <t>Aggregate Emissions</t>
  </si>
  <si>
    <t># of RAP Crushers-</t>
  </si>
  <si>
    <t>Screening Total</t>
  </si>
  <si>
    <t>Conveying Total</t>
  </si>
  <si>
    <t>Other Aggregate Handling</t>
  </si>
  <si>
    <t>Wind Erosion</t>
  </si>
  <si>
    <t>(acre)</t>
  </si>
  <si>
    <t>Max. RAP Used (%)</t>
  </si>
  <si>
    <t># of Virgin Agg. Conveyors (#)</t>
  </si>
  <si>
    <t># of Virgin Agg. Screens (#)</t>
  </si>
  <si>
    <t># of RAP Conveyors (#)</t>
  </si>
  <si>
    <t># of RAP Screens (#)</t>
  </si>
  <si>
    <t># of RAP Crushers (#)</t>
  </si>
  <si>
    <t>Size of Coarse Agg. Piles (acre)</t>
  </si>
  <si>
    <t>Mean Wind Speed (MPH)</t>
  </si>
  <si>
    <t>Time Wind Speed &gt;12 MPH (%)</t>
  </si>
  <si>
    <t>Days precip &gt; 0.01 in (# days/yr)</t>
  </si>
  <si>
    <t>Conveying</t>
  </si>
  <si>
    <t>Table 11.19.2-2</t>
  </si>
  <si>
    <t>(8/04)</t>
  </si>
  <si>
    <t>Source</t>
  </si>
  <si>
    <t>Virgin Agg.</t>
  </si>
  <si>
    <t>RAP Agg.</t>
  </si>
  <si>
    <t>ND</t>
  </si>
  <si>
    <t>Virgin -RAP</t>
  </si>
  <si>
    <t>Screening</t>
  </si>
  <si>
    <t>RAP Crushing</t>
  </si>
  <si>
    <t>Agg. Handling</t>
  </si>
  <si>
    <t>13.2.4-4</t>
  </si>
  <si>
    <t>(11/06)</t>
  </si>
  <si>
    <t>1992 Fugitive Guide</t>
  </si>
  <si>
    <t>(lb/d/acre)</t>
  </si>
  <si>
    <t>Aggregate Moisture-</t>
  </si>
  <si>
    <t>Aggregate Silt Content-</t>
  </si>
  <si>
    <t>HMA Aggregate Content-</t>
  </si>
  <si>
    <t>Gound Stor</t>
  </si>
  <si>
    <t>Feed Bin</t>
  </si>
  <si>
    <t>Piles</t>
  </si>
  <si>
    <t>(Worst case from the 12 met zones used for modeling, Jan'06-Dec'10)</t>
  </si>
  <si>
    <t>(Worst-case from Cola, Char, &amp; Gre for Jul'10-Jun'11)</t>
  </si>
  <si>
    <t>Added Aggregate Handling Emissions</t>
  </si>
  <si>
    <t>Note:</t>
  </si>
  <si>
    <t>Controlled factors are being used as a review of source tests from the last two years (n=45) shows that aggregate moisture content averaged 4.9%. This is consistent with footnote b of 11.19-2.</t>
  </si>
  <si>
    <t>Agg. Content (%)</t>
  </si>
  <si>
    <t>Agg. Moisture (%)</t>
  </si>
  <si>
    <t>Agg. Silt (%)</t>
  </si>
  <si>
    <t>Revised Aggregate Handling Emission calculations based on reconsideration requested by SCAPA.</t>
  </si>
  <si>
    <t>(Based on review of recent source tests)</t>
  </si>
  <si>
    <t>(Based on value provided by SCAPA)</t>
  </si>
  <si>
    <t>(Default from AP-42)</t>
  </si>
  <si>
    <t>Total Virgin/RAP Aggregate Piles</t>
  </si>
  <si>
    <t>Kirk Schneider</t>
  </si>
  <si>
    <t>Modified Input page to clarify that the size of the aggregate piles includes both virgin piles and any RAP piles</t>
  </si>
  <si>
    <t>Burner Fuels Used</t>
  </si>
  <si>
    <t>Hot Oil Heater Fuels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</si>
</sst>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9" formatCode="0.0000%"/>
    <numFmt numFmtId="170" formatCode="0.0000E+00"/>
    <numFmt numFmtId="171" formatCode="0.0E+00"/>
    <numFmt numFmtId="172" formatCode="0.000"/>
    <numFmt numFmtId="173" formatCode="0.000000"/>
    <numFmt numFmtId="174" formatCode="0.0"/>
    <numFmt numFmtId="177" formatCode="#,##0.0000"/>
    <numFmt numFmtId="182" formatCode="0.00000"/>
  </numFmts>
  <fonts count="29" x14ac:knownFonts="1">
    <font>
      <sz val="10"/>
      <name val="Arial"/>
    </font>
    <font>
      <sz val="10"/>
      <name val="Arial"/>
    </font>
    <font>
      <b/>
      <sz val="10"/>
      <name val="Arial"/>
      <family val="2"/>
    </font>
    <font>
      <sz val="8"/>
      <name val="Arial"/>
      <family val="2"/>
    </font>
    <font>
      <sz val="10"/>
      <color indexed="10"/>
      <name val="Arial"/>
      <family val="2"/>
    </font>
    <font>
      <sz val="10"/>
      <color indexed="12"/>
      <name val="Arial"/>
      <family val="2"/>
    </font>
    <font>
      <sz val="8"/>
      <color indexed="10"/>
      <name val="Arial"/>
      <family val="2"/>
    </font>
    <font>
      <sz val="8"/>
      <name val="Arial"/>
      <family val="2"/>
    </font>
    <font>
      <vertAlign val="subscript"/>
      <sz val="8"/>
      <name val="Arial"/>
      <family val="2"/>
    </font>
    <font>
      <vertAlign val="superscript"/>
      <sz val="8"/>
      <name val="Arial"/>
      <family val="2"/>
    </font>
    <font>
      <sz val="9.9"/>
      <color indexed="8"/>
      <name val="Arial"/>
      <family val="2"/>
    </font>
    <font>
      <sz val="6"/>
      <color indexed="8"/>
      <name val="Arial"/>
      <family val="2"/>
    </font>
    <font>
      <sz val="10"/>
      <color indexed="8"/>
      <name val="Arial"/>
      <family val="2"/>
    </font>
    <font>
      <sz val="10"/>
      <name val="Arial"/>
      <family val="2"/>
    </font>
    <font>
      <strike/>
      <sz val="10"/>
      <name val="Arial"/>
      <family val="2"/>
    </font>
    <font>
      <sz val="10"/>
      <color indexed="20"/>
      <name val="Arial"/>
      <family val="2"/>
    </font>
    <font>
      <b/>
      <u/>
      <sz val="10"/>
      <name val="Arial"/>
      <family val="2"/>
    </font>
    <font>
      <sz val="10"/>
      <color indexed="14"/>
      <name val="Arial"/>
      <family val="2"/>
    </font>
    <font>
      <sz val="8"/>
      <color indexed="20"/>
      <name val="Arial"/>
      <family val="2"/>
    </font>
    <font>
      <b/>
      <sz val="10"/>
      <color indexed="8"/>
      <name val="Times New Roman"/>
      <family val="1"/>
    </font>
    <font>
      <b/>
      <vertAlign val="subscript"/>
      <sz val="10"/>
      <color indexed="8"/>
      <name val="Times New Roman"/>
      <family val="1"/>
    </font>
    <font>
      <b/>
      <sz val="16"/>
      <name val="Arial"/>
      <family val="2"/>
    </font>
    <font>
      <sz val="10"/>
      <color indexed="30"/>
      <name val="Arial"/>
      <family val="2"/>
    </font>
    <font>
      <sz val="10"/>
      <color indexed="10"/>
      <name val="Arial"/>
      <family val="2"/>
    </font>
    <font>
      <sz val="10"/>
      <color indexed="12"/>
      <name val="Arial"/>
      <family val="2"/>
    </font>
    <font>
      <sz val="10"/>
      <color indexed="20"/>
      <name val="Arial"/>
      <family val="2"/>
    </font>
    <font>
      <sz val="10"/>
      <color indexed="36"/>
      <name val="Arial"/>
      <family val="2"/>
    </font>
    <font>
      <sz val="8"/>
      <color indexed="36"/>
      <name val="Arial"/>
      <family val="2"/>
    </font>
    <font>
      <sz val="10"/>
      <color indexed="48"/>
      <name val="Arial"/>
      <family val="2"/>
    </font>
  </fonts>
  <fills count="3">
    <fill>
      <patternFill patternType="none"/>
    </fill>
    <fill>
      <patternFill patternType="gray125"/>
    </fill>
    <fill>
      <patternFill patternType="solid">
        <fgColor indexed="9"/>
        <bgColor indexed="64"/>
      </patternFill>
    </fill>
  </fills>
  <borders count="178">
    <border>
      <left/>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ck">
        <color indexed="64"/>
      </bottom>
      <diagonal/>
    </border>
    <border>
      <left style="hair">
        <color indexed="64"/>
      </left>
      <right style="medium">
        <color indexed="64"/>
      </right>
      <top style="thin">
        <color indexed="64"/>
      </top>
      <bottom style="thick">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bottom style="thin">
        <color indexed="64"/>
      </bottom>
      <diagonal/>
    </border>
    <border>
      <left style="medium">
        <color indexed="64"/>
      </left>
      <right style="hair">
        <color indexed="64"/>
      </right>
      <top/>
      <bottom/>
      <diagonal/>
    </border>
    <border>
      <left/>
      <right style="hair">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medium">
        <color indexed="64"/>
      </right>
      <top/>
      <bottom style="thick">
        <color indexed="64"/>
      </bottom>
      <diagonal/>
    </border>
    <border>
      <left/>
      <right style="hair">
        <color indexed="64"/>
      </right>
      <top/>
      <bottom style="thick">
        <color indexed="64"/>
      </bottom>
      <diagonal/>
    </border>
    <border>
      <left style="hair">
        <color indexed="64"/>
      </left>
      <right style="thick">
        <color indexed="64"/>
      </right>
      <top/>
      <bottom style="thick">
        <color indexed="64"/>
      </bottom>
      <diagonal/>
    </border>
    <border>
      <left/>
      <right/>
      <top style="thick">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top/>
      <bottom style="medium">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style="medium">
        <color indexed="64"/>
      </left>
      <right style="hair">
        <color indexed="64"/>
      </right>
      <top style="thin">
        <color indexed="64"/>
      </top>
      <bottom style="medium">
        <color indexed="64"/>
      </bottom>
      <diagonal/>
    </border>
    <border>
      <left style="medium">
        <color indexed="64"/>
      </left>
      <right/>
      <top style="thick">
        <color indexed="64"/>
      </top>
      <bottom/>
      <diagonal/>
    </border>
    <border>
      <left/>
      <right style="thick">
        <color indexed="64"/>
      </right>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hair">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hair">
        <color indexed="64"/>
      </right>
      <top style="thin">
        <color indexed="64"/>
      </top>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double">
        <color indexed="64"/>
      </bottom>
      <diagonal/>
    </border>
    <border>
      <left style="medium">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ck">
        <color indexed="64"/>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medium">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thick">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ck">
        <color indexed="64"/>
      </right>
      <top style="thin">
        <color indexed="64"/>
      </top>
      <bottom style="medium">
        <color indexed="64"/>
      </bottom>
      <diagonal/>
    </border>
    <border>
      <left style="medium">
        <color indexed="64"/>
      </left>
      <right/>
      <top style="medium">
        <color indexed="64"/>
      </top>
      <bottom style="thick">
        <color indexed="64"/>
      </bottom>
      <diagonal/>
    </border>
    <border>
      <left style="hair">
        <color indexed="64"/>
      </left>
      <right/>
      <top style="medium">
        <color indexed="64"/>
      </top>
      <bottom style="thick">
        <color indexed="64"/>
      </bottom>
      <diagonal/>
    </border>
    <border>
      <left/>
      <right style="hair">
        <color indexed="64"/>
      </right>
      <top style="medium">
        <color indexed="64"/>
      </top>
      <bottom style="thick">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hair">
        <color indexed="64"/>
      </left>
      <right style="thick">
        <color indexed="64"/>
      </right>
      <top/>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medium">
        <color indexed="64"/>
      </bottom>
      <diagonal/>
    </border>
    <border>
      <left style="thin">
        <color indexed="64"/>
      </left>
      <right/>
      <top style="thick">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s>
  <cellStyleXfs count="1">
    <xf numFmtId="0" fontId="0" fillId="0" borderId="0"/>
  </cellStyleXfs>
  <cellXfs count="683">
    <xf numFmtId="0" fontId="0" fillId="0" borderId="0" xfId="0"/>
    <xf numFmtId="0" fontId="2"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0" fillId="0" borderId="3" xfId="0" applyBorder="1"/>
    <xf numFmtId="0" fontId="0" fillId="0" borderId="0" xfId="0"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4" fontId="5" fillId="0" borderId="8" xfId="0" applyNumberFormat="1" applyFont="1" applyBorder="1"/>
    <xf numFmtId="2" fontId="5" fillId="0" borderId="8" xfId="0" applyNumberFormat="1" applyFont="1" applyBorder="1"/>
    <xf numFmtId="2" fontId="5" fillId="0" borderId="9" xfId="0" applyNumberFormat="1" applyFont="1" applyBorder="1"/>
    <xf numFmtId="0" fontId="0" fillId="0" borderId="10" xfId="0" applyBorder="1" applyAlignment="1">
      <alignment horizontal="center"/>
    </xf>
    <xf numFmtId="164" fontId="5" fillId="0" borderId="11" xfId="0" applyNumberFormat="1" applyFont="1" applyBorder="1"/>
    <xf numFmtId="2" fontId="5" fillId="0" borderId="11" xfId="0" applyNumberFormat="1" applyFont="1" applyBorder="1"/>
    <xf numFmtId="2" fontId="5" fillId="0" borderId="12" xfId="0" applyNumberFormat="1" applyFont="1" applyBorder="1"/>
    <xf numFmtId="0" fontId="0" fillId="0" borderId="13" xfId="0" applyBorder="1" applyAlignment="1">
      <alignment horizontal="center"/>
    </xf>
    <xf numFmtId="164" fontId="5" fillId="0" borderId="14" xfId="0" applyNumberFormat="1" applyFont="1" applyBorder="1"/>
    <xf numFmtId="2" fontId="5" fillId="0" borderId="15" xfId="0" applyNumberFormat="1" applyFont="1" applyBorder="1"/>
    <xf numFmtId="0" fontId="0" fillId="0" borderId="16" xfId="0" applyBorder="1" applyAlignment="1">
      <alignment horizontal="center"/>
    </xf>
    <xf numFmtId="0" fontId="0" fillId="0" borderId="17" xfId="0" applyBorder="1"/>
    <xf numFmtId="0" fontId="0" fillId="0" borderId="18" xfId="0" applyBorder="1" applyAlignment="1">
      <alignment horizontal="center"/>
    </xf>
    <xf numFmtId="0" fontId="0" fillId="0" borderId="19" xfId="0" applyBorder="1" applyAlignment="1">
      <alignment horizontal="center"/>
    </xf>
    <xf numFmtId="164" fontId="5" fillId="0" borderId="20" xfId="0" applyNumberFormat="1" applyFont="1" applyBorder="1" applyAlignment="1">
      <alignment horizontal="center"/>
    </xf>
    <xf numFmtId="2" fontId="5" fillId="0" borderId="21" xfId="0" applyNumberFormat="1" applyFont="1" applyBorder="1" applyAlignment="1">
      <alignment horizontal="center"/>
    </xf>
    <xf numFmtId="0" fontId="0" fillId="0" borderId="22" xfId="0" applyBorder="1" applyAlignment="1">
      <alignment horizontal="center"/>
    </xf>
    <xf numFmtId="164" fontId="5" fillId="0" borderId="11" xfId="0" applyNumberFormat="1" applyFont="1" applyBorder="1" applyAlignment="1">
      <alignment horizontal="center"/>
    </xf>
    <xf numFmtId="2" fontId="5" fillId="0" borderId="23" xfId="0" applyNumberFormat="1" applyFont="1" applyBorder="1" applyAlignment="1">
      <alignment horizontal="center"/>
    </xf>
    <xf numFmtId="0" fontId="0" fillId="0" borderId="24" xfId="0" applyBorder="1" applyAlignment="1">
      <alignment horizontal="center"/>
    </xf>
    <xf numFmtId="164" fontId="5" fillId="0" borderId="14" xfId="0" applyNumberFormat="1" applyFont="1" applyBorder="1" applyAlignment="1">
      <alignment horizontal="center"/>
    </xf>
    <xf numFmtId="2" fontId="5" fillId="0" borderId="25" xfId="0" applyNumberFormat="1" applyFont="1" applyBorder="1" applyAlignment="1">
      <alignment horizontal="center"/>
    </xf>
    <xf numFmtId="0" fontId="0" fillId="0" borderId="26" xfId="0" applyBorder="1" applyAlignment="1">
      <alignment horizontal="center"/>
    </xf>
    <xf numFmtId="2" fontId="5" fillId="0" borderId="27" xfId="0" applyNumberFormat="1" applyFont="1" applyBorder="1" applyAlignment="1">
      <alignment horizontal="center"/>
    </xf>
    <xf numFmtId="0" fontId="0" fillId="0" borderId="28" xfId="0" applyBorder="1" applyAlignment="1">
      <alignment horizontal="center"/>
    </xf>
    <xf numFmtId="2" fontId="5" fillId="0" borderId="29" xfId="0" applyNumberFormat="1" applyFont="1" applyBorder="1" applyAlignment="1">
      <alignment horizontal="center"/>
    </xf>
    <xf numFmtId="0" fontId="0" fillId="0" borderId="30" xfId="0" applyBorder="1" applyAlignment="1">
      <alignment horizontal="center"/>
    </xf>
    <xf numFmtId="2" fontId="5" fillId="0" borderId="31" xfId="0" applyNumberFormat="1" applyFont="1" applyBorder="1" applyAlignment="1">
      <alignment horizontal="center"/>
    </xf>
    <xf numFmtId="2" fontId="5" fillId="0" borderId="32" xfId="0" applyNumberFormat="1" applyFont="1" applyBorder="1" applyAlignment="1">
      <alignment horizontal="center"/>
    </xf>
    <xf numFmtId="2" fontId="5" fillId="0" borderId="15" xfId="0" applyNumberFormat="1" applyFont="1" applyBorder="1" applyAlignment="1">
      <alignment horizontal="center"/>
    </xf>
    <xf numFmtId="2" fontId="5" fillId="0" borderId="12" xfId="0" applyNumberFormat="1" applyFont="1" applyBorder="1" applyAlignment="1">
      <alignment horizontal="center"/>
    </xf>
    <xf numFmtId="2" fontId="5" fillId="0" borderId="14" xfId="0" applyNumberFormat="1" applyFont="1" applyBorder="1"/>
    <xf numFmtId="0" fontId="0" fillId="0" borderId="33" xfId="0" applyBorder="1" applyAlignment="1">
      <alignment horizontal="center"/>
    </xf>
    <xf numFmtId="0" fontId="0" fillId="0" borderId="34" xfId="0" applyBorder="1" applyAlignment="1">
      <alignment horizontal="center"/>
    </xf>
    <xf numFmtId="1" fontId="5" fillId="0" borderId="0" xfId="0" applyNumberFormat="1" applyFont="1"/>
    <xf numFmtId="0" fontId="6" fillId="2" borderId="35" xfId="0" applyFont="1" applyFill="1" applyBorder="1"/>
    <xf numFmtId="0" fontId="7" fillId="2" borderId="36" xfId="0" applyFont="1" applyFill="1" applyBorder="1"/>
    <xf numFmtId="0" fontId="7" fillId="2" borderId="37" xfId="0" applyFont="1" applyFill="1" applyBorder="1"/>
    <xf numFmtId="0" fontId="7" fillId="2" borderId="38" xfId="0" applyFont="1" applyFill="1" applyBorder="1"/>
    <xf numFmtId="0" fontId="7" fillId="2" borderId="39" xfId="0" applyFont="1" applyFill="1" applyBorder="1" applyAlignment="1">
      <alignment horizontal="center"/>
    </xf>
    <xf numFmtId="0" fontId="7" fillId="2" borderId="40" xfId="0" applyFont="1" applyFill="1" applyBorder="1" applyAlignment="1">
      <alignment horizontal="center"/>
    </xf>
    <xf numFmtId="0" fontId="7" fillId="2" borderId="41" xfId="0" applyFont="1" applyFill="1" applyBorder="1" applyAlignment="1">
      <alignment horizontal="center"/>
    </xf>
    <xf numFmtId="0" fontId="7" fillId="2" borderId="42"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xf numFmtId="0" fontId="7" fillId="2" borderId="45" xfId="0" applyFont="1" applyFill="1" applyBorder="1" applyAlignment="1">
      <alignment horizontal="center"/>
    </xf>
    <xf numFmtId="0" fontId="7" fillId="2" borderId="46" xfId="0" applyFont="1" applyFill="1" applyBorder="1" applyAlignment="1">
      <alignment horizontal="center"/>
    </xf>
    <xf numFmtId="0" fontId="7" fillId="2" borderId="45" xfId="0" applyFont="1" applyFill="1" applyBorder="1"/>
    <xf numFmtId="0" fontId="7" fillId="2" borderId="5" xfId="0" applyFont="1" applyFill="1" applyBorder="1" applyAlignment="1">
      <alignment horizontal="center"/>
    </xf>
    <xf numFmtId="164" fontId="5" fillId="0" borderId="8" xfId="0" quotePrefix="1" applyNumberFormat="1" applyFont="1" applyBorder="1" applyAlignment="1">
      <alignment horizontal="center"/>
    </xf>
    <xf numFmtId="2" fontId="5" fillId="0" borderId="9" xfId="0" quotePrefix="1" applyNumberFormat="1" applyFont="1" applyBorder="1" applyAlignment="1">
      <alignment horizontal="center"/>
    </xf>
    <xf numFmtId="0" fontId="0" fillId="0" borderId="0" xfId="0" applyBorder="1" applyAlignment="1">
      <alignment horizontal="center"/>
    </xf>
    <xf numFmtId="0" fontId="12" fillId="0" borderId="0" xfId="0" applyFont="1"/>
    <xf numFmtId="0" fontId="13" fillId="0" borderId="0" xfId="0" applyFont="1"/>
    <xf numFmtId="10" fontId="13" fillId="0" borderId="0" xfId="0" applyNumberFormat="1" applyFont="1"/>
    <xf numFmtId="0" fontId="10" fillId="0" borderId="0" xfId="0" applyFont="1"/>
    <xf numFmtId="0" fontId="0" fillId="0" borderId="0" xfId="0" applyNumberFormat="1"/>
    <xf numFmtId="0" fontId="14" fillId="0" borderId="0" xfId="0" applyFont="1"/>
    <xf numFmtId="0" fontId="0" fillId="0" borderId="47" xfId="0" applyBorder="1" applyAlignment="1">
      <alignment horizontal="center"/>
    </xf>
    <xf numFmtId="164" fontId="5" fillId="0" borderId="48" xfId="0" applyNumberFormat="1" applyFont="1" applyBorder="1"/>
    <xf numFmtId="2" fontId="5" fillId="0" borderId="48" xfId="0" applyNumberFormat="1" applyFont="1" applyBorder="1"/>
    <xf numFmtId="2" fontId="5" fillId="0" borderId="49" xfId="0" applyNumberFormat="1" applyFont="1" applyBorder="1"/>
    <xf numFmtId="0" fontId="0" fillId="0" borderId="13" xfId="0" applyFill="1" applyBorder="1" applyAlignment="1">
      <alignment horizontal="center"/>
    </xf>
    <xf numFmtId="0" fontId="0" fillId="0" borderId="14" xfId="0" applyBorder="1"/>
    <xf numFmtId="2" fontId="5" fillId="0" borderId="0" xfId="0" applyNumberFormat="1" applyFont="1" applyBorder="1"/>
    <xf numFmtId="0" fontId="0" fillId="0" borderId="35" xfId="0" applyBorder="1"/>
    <xf numFmtId="0" fontId="0" fillId="0" borderId="44" xfId="0" applyBorder="1" applyAlignment="1">
      <alignment horizontal="center"/>
    </xf>
    <xf numFmtId="0" fontId="0" fillId="0" borderId="50" xfId="0" applyBorder="1" applyAlignment="1">
      <alignment horizontal="center"/>
    </xf>
    <xf numFmtId="164" fontId="5" fillId="0" borderId="51" xfId="0" applyNumberFormat="1" applyFont="1" applyBorder="1" applyAlignment="1">
      <alignment horizontal="center"/>
    </xf>
    <xf numFmtId="2" fontId="5" fillId="0" borderId="52" xfId="0" applyNumberFormat="1" applyFont="1" applyBorder="1" applyAlignment="1">
      <alignment horizontal="center"/>
    </xf>
    <xf numFmtId="0" fontId="0" fillId="0" borderId="53" xfId="0" applyBorder="1" applyAlignment="1">
      <alignment horizontal="center"/>
    </xf>
    <xf numFmtId="11" fontId="5" fillId="0" borderId="54" xfId="0" applyNumberFormat="1" applyFont="1" applyBorder="1" applyAlignment="1">
      <alignment horizontal="center"/>
    </xf>
    <xf numFmtId="0" fontId="0" fillId="0" borderId="55" xfId="0" applyBorder="1"/>
    <xf numFmtId="0" fontId="0" fillId="0" borderId="17" xfId="0" applyBorder="1" applyAlignment="1">
      <alignment horizontal="center"/>
    </xf>
    <xf numFmtId="0" fontId="0" fillId="0" borderId="8" xfId="0" applyBorder="1" applyAlignment="1">
      <alignment horizontal="center"/>
    </xf>
    <xf numFmtId="0" fontId="10" fillId="0" borderId="8" xfId="0" applyFont="1" applyBorder="1"/>
    <xf numFmtId="0" fontId="0" fillId="0" borderId="11" xfId="0" applyBorder="1" applyAlignment="1">
      <alignment horizontal="center"/>
    </xf>
    <xf numFmtId="0" fontId="10" fillId="0" borderId="11" xfId="0" applyFont="1" applyBorder="1"/>
    <xf numFmtId="0" fontId="0" fillId="0" borderId="14" xfId="0" applyBorder="1" applyAlignment="1">
      <alignment horizontal="center"/>
    </xf>
    <xf numFmtId="0" fontId="10" fillId="0" borderId="14" xfId="0" applyFont="1" applyBorder="1"/>
    <xf numFmtId="0" fontId="0" fillId="0" borderId="56" xfId="0" applyBorder="1" applyAlignment="1">
      <alignment horizontal="center"/>
    </xf>
    <xf numFmtId="0" fontId="0" fillId="0" borderId="57" xfId="0" applyBorder="1" applyAlignment="1">
      <alignment horizontal="center"/>
    </xf>
    <xf numFmtId="0" fontId="0" fillId="0" borderId="11" xfId="0" applyBorder="1"/>
    <xf numFmtId="171" fontId="0" fillId="0" borderId="8" xfId="0" applyNumberFormat="1" applyBorder="1" applyAlignment="1">
      <alignment horizontal="center"/>
    </xf>
    <xf numFmtId="171" fontId="0" fillId="0" borderId="11" xfId="0" applyNumberFormat="1" applyBorder="1" applyAlignment="1">
      <alignment horizontal="center"/>
    </xf>
    <xf numFmtId="0" fontId="0" fillId="0" borderId="48" xfId="0" applyBorder="1" applyAlignment="1">
      <alignment horizontal="center"/>
    </xf>
    <xf numFmtId="0" fontId="10" fillId="0" borderId="48" xfId="0" applyFont="1" applyBorder="1"/>
    <xf numFmtId="0" fontId="10" fillId="0" borderId="55" xfId="0" applyFont="1" applyBorder="1"/>
    <xf numFmtId="0" fontId="0" fillId="0" borderId="58" xfId="0" applyBorder="1"/>
    <xf numFmtId="0" fontId="0" fillId="0" borderId="59" xfId="0" applyBorder="1"/>
    <xf numFmtId="0" fontId="0" fillId="0" borderId="60" xfId="0" applyBorder="1"/>
    <xf numFmtId="171" fontId="0" fillId="0" borderId="14" xfId="0" applyNumberFormat="1" applyBorder="1" applyAlignment="1">
      <alignment horizontal="center"/>
    </xf>
    <xf numFmtId="0" fontId="0" fillId="0" borderId="8" xfId="0" applyBorder="1" applyAlignment="1">
      <alignment horizontal="left"/>
    </xf>
    <xf numFmtId="0" fontId="0" fillId="0" borderId="61" xfId="0" applyBorder="1" applyAlignment="1">
      <alignment horizontal="center"/>
    </xf>
    <xf numFmtId="0" fontId="0" fillId="0" borderId="11" xfId="0" applyBorder="1" applyAlignment="1">
      <alignment horizontal="left"/>
    </xf>
    <xf numFmtId="0" fontId="0" fillId="0" borderId="11" xfId="0" applyFill="1" applyBorder="1" applyAlignment="1">
      <alignment horizontal="center"/>
    </xf>
    <xf numFmtId="0" fontId="10" fillId="0" borderId="13" xfId="0" quotePrefix="1" applyFont="1" applyFill="1" applyBorder="1" applyAlignment="1">
      <alignment horizontal="center"/>
    </xf>
    <xf numFmtId="0" fontId="0" fillId="0" borderId="14" xfId="0" applyFill="1" applyBorder="1" applyAlignment="1">
      <alignment horizontal="center"/>
    </xf>
    <xf numFmtId="0" fontId="10" fillId="0" borderId="14" xfId="0" applyFont="1" applyFill="1" applyBorder="1"/>
    <xf numFmtId="171" fontId="10" fillId="0" borderId="14" xfId="0" applyNumberFormat="1" applyFont="1" applyBorder="1" applyAlignment="1">
      <alignment horizontal="center"/>
    </xf>
    <xf numFmtId="171" fontId="12" fillId="0" borderId="8" xfId="0" applyNumberFormat="1" applyFont="1" applyBorder="1" applyAlignment="1">
      <alignment horizontal="center"/>
    </xf>
    <xf numFmtId="171" fontId="12" fillId="0" borderId="11" xfId="0" applyNumberFormat="1" applyFont="1" applyBorder="1" applyAlignment="1">
      <alignment horizontal="center"/>
    </xf>
    <xf numFmtId="171" fontId="12" fillId="0" borderId="48" xfId="0" applyNumberFormat="1" applyFont="1" applyBorder="1" applyAlignment="1">
      <alignment horizontal="center"/>
    </xf>
    <xf numFmtId="170" fontId="5" fillId="0" borderId="62" xfId="0" applyNumberFormat="1" applyFont="1" applyBorder="1" applyAlignment="1">
      <alignment horizontal="center"/>
    </xf>
    <xf numFmtId="0" fontId="12" fillId="0" borderId="8" xfId="0" applyFont="1" applyBorder="1"/>
    <xf numFmtId="170" fontId="5" fillId="0" borderId="23" xfId="0" applyNumberFormat="1" applyFont="1" applyBorder="1" applyAlignment="1">
      <alignment horizontal="center"/>
    </xf>
    <xf numFmtId="170" fontId="5" fillId="0" borderId="63" xfId="0" applyNumberFormat="1" applyFont="1" applyBorder="1" applyAlignment="1">
      <alignment horizontal="center"/>
    </xf>
    <xf numFmtId="170" fontId="5" fillId="0" borderId="9" xfId="0" applyNumberFormat="1" applyFont="1" applyBorder="1" applyAlignment="1">
      <alignment horizontal="center"/>
    </xf>
    <xf numFmtId="170" fontId="5" fillId="0" borderId="12" xfId="0" applyNumberFormat="1" applyFont="1" applyBorder="1" applyAlignment="1">
      <alignment horizontal="center"/>
    </xf>
    <xf numFmtId="170" fontId="5" fillId="0" borderId="15" xfId="0" applyNumberFormat="1" applyFont="1" applyBorder="1" applyAlignment="1">
      <alignment horizontal="center"/>
    </xf>
    <xf numFmtId="170" fontId="5" fillId="0" borderId="25" xfId="0" applyNumberFormat="1" applyFont="1" applyBorder="1" applyAlignment="1">
      <alignment horizontal="center"/>
    </xf>
    <xf numFmtId="0" fontId="12" fillId="0" borderId="20" xfId="0" applyFont="1" applyBorder="1" applyAlignment="1">
      <alignment horizontal="center"/>
    </xf>
    <xf numFmtId="0" fontId="12" fillId="0" borderId="14" xfId="0" applyFont="1" applyBorder="1" applyAlignment="1">
      <alignment horizontal="center"/>
    </xf>
    <xf numFmtId="0" fontId="12" fillId="0" borderId="11" xfId="0" applyFont="1" applyBorder="1" applyAlignment="1">
      <alignment horizontal="center"/>
    </xf>
    <xf numFmtId="11" fontId="12" fillId="0" borderId="14" xfId="0" applyNumberFormat="1" applyFont="1" applyBorder="1" applyAlignment="1">
      <alignment horizontal="center"/>
    </xf>
    <xf numFmtId="0" fontId="12" fillId="0" borderId="51" xfId="0" applyFont="1" applyBorder="1" applyAlignment="1">
      <alignment horizontal="center"/>
    </xf>
    <xf numFmtId="0" fontId="12" fillId="0" borderId="0" xfId="0" applyFont="1" applyBorder="1"/>
    <xf numFmtId="0" fontId="0" fillId="0" borderId="4" xfId="0" applyBorder="1"/>
    <xf numFmtId="0" fontId="0" fillId="0" borderId="16" xfId="0" applyBorder="1"/>
    <xf numFmtId="0" fontId="0" fillId="0" borderId="46" xfId="0" applyBorder="1"/>
    <xf numFmtId="0" fontId="0" fillId="0" borderId="6" xfId="0" applyBorder="1"/>
    <xf numFmtId="0" fontId="12" fillId="0" borderId="11" xfId="0" applyFont="1" applyBorder="1"/>
    <xf numFmtId="0" fontId="12" fillId="0" borderId="14" xfId="0" applyFont="1" applyBorder="1"/>
    <xf numFmtId="0" fontId="12" fillId="0" borderId="64" xfId="0" applyFont="1" applyBorder="1" applyAlignment="1">
      <alignment horizontal="center"/>
    </xf>
    <xf numFmtId="0" fontId="13" fillId="0" borderId="8" xfId="0" applyFont="1" applyBorder="1" applyAlignment="1">
      <alignment horizontal="center"/>
    </xf>
    <xf numFmtId="0" fontId="12" fillId="0" borderId="22" xfId="0" applyFont="1" applyBorder="1" applyAlignment="1">
      <alignment horizontal="center"/>
    </xf>
    <xf numFmtId="0" fontId="13" fillId="0" borderId="11" xfId="0" applyFont="1" applyBorder="1" applyAlignment="1">
      <alignment horizontal="center"/>
    </xf>
    <xf numFmtId="0" fontId="13" fillId="0" borderId="24" xfId="0" applyFont="1" applyBorder="1" applyAlignment="1">
      <alignment horizontal="center"/>
    </xf>
    <xf numFmtId="0" fontId="13" fillId="0" borderId="14" xfId="0" applyFont="1" applyBorder="1" applyAlignment="1">
      <alignment horizontal="center"/>
    </xf>
    <xf numFmtId="0" fontId="12" fillId="0" borderId="24" xfId="0" applyFont="1" applyBorder="1" applyAlignment="1">
      <alignment horizontal="center"/>
    </xf>
    <xf numFmtId="169" fontId="13" fillId="0" borderId="8" xfId="0" applyNumberFormat="1" applyFont="1" applyBorder="1" applyAlignment="1">
      <alignment horizontal="center"/>
    </xf>
    <xf numFmtId="169" fontId="13" fillId="0" borderId="11" xfId="0" applyNumberFormat="1" applyFont="1" applyBorder="1" applyAlignment="1">
      <alignment horizontal="center"/>
    </xf>
    <xf numFmtId="169" fontId="13" fillId="0" borderId="14" xfId="0" applyNumberFormat="1" applyFont="1" applyBorder="1" applyAlignment="1">
      <alignment horizontal="center"/>
    </xf>
    <xf numFmtId="0" fontId="2" fillId="0" borderId="0" xfId="0" applyFont="1" applyAlignment="1">
      <alignment horizontal="right"/>
    </xf>
    <xf numFmtId="0" fontId="15" fillId="0" borderId="0" xfId="0" applyFont="1"/>
    <xf numFmtId="164" fontId="15" fillId="0" borderId="0" xfId="0" applyNumberFormat="1" applyFont="1"/>
    <xf numFmtId="0" fontId="13" fillId="0" borderId="0" xfId="0" applyFont="1" applyBorder="1" applyAlignment="1">
      <alignment horizontal="center"/>
    </xf>
    <xf numFmtId="0" fontId="12" fillId="0" borderId="7" xfId="0" applyFont="1" applyBorder="1" applyAlignment="1">
      <alignment horizontal="center"/>
    </xf>
    <xf numFmtId="0" fontId="12" fillId="0" borderId="10" xfId="0" applyFont="1" applyBorder="1" applyAlignment="1">
      <alignment horizontal="center"/>
    </xf>
    <xf numFmtId="0" fontId="12" fillId="0" borderId="13" xfId="0" applyFont="1" applyBorder="1" applyAlignment="1">
      <alignment horizontal="center"/>
    </xf>
    <xf numFmtId="0" fontId="13" fillId="0" borderId="10" xfId="0" applyFont="1" applyBorder="1" applyAlignment="1">
      <alignment horizontal="center"/>
    </xf>
    <xf numFmtId="0" fontId="10" fillId="0" borderId="7" xfId="0" applyFont="1" applyBorder="1" applyAlignment="1">
      <alignment horizontal="left"/>
    </xf>
    <xf numFmtId="0" fontId="10" fillId="0" borderId="10" xfId="0" applyFont="1" applyBorder="1" applyAlignment="1">
      <alignment horizontal="left"/>
    </xf>
    <xf numFmtId="0" fontId="0" fillId="0" borderId="10" xfId="0" applyBorder="1" applyAlignment="1">
      <alignment horizontal="left"/>
    </xf>
    <xf numFmtId="0" fontId="10" fillId="0" borderId="13" xfId="0" applyFont="1" applyBorder="1" applyAlignment="1">
      <alignment horizontal="left"/>
    </xf>
    <xf numFmtId="0" fontId="0" fillId="0" borderId="64" xfId="0" applyBorder="1" applyAlignment="1">
      <alignment horizontal="left"/>
    </xf>
    <xf numFmtId="0" fontId="0" fillId="0" borderId="22" xfId="0" applyBorder="1" applyAlignment="1">
      <alignment horizontal="left"/>
    </xf>
    <xf numFmtId="0" fontId="10" fillId="0" borderId="22" xfId="0" applyFont="1" applyBorder="1" applyAlignment="1">
      <alignment horizontal="left"/>
    </xf>
    <xf numFmtId="0" fontId="10" fillId="0" borderId="65" xfId="0" applyFont="1" applyBorder="1" applyAlignment="1">
      <alignment horizontal="left"/>
    </xf>
    <xf numFmtId="0" fontId="12" fillId="0" borderId="10" xfId="0" applyFont="1" applyBorder="1" applyAlignment="1">
      <alignment horizontal="left"/>
    </xf>
    <xf numFmtId="0" fontId="13" fillId="0" borderId="10" xfId="0" applyFont="1" applyBorder="1" applyAlignment="1">
      <alignment horizontal="left"/>
    </xf>
    <xf numFmtId="0" fontId="12" fillId="0" borderId="13" xfId="0" applyFont="1" applyBorder="1" applyAlignment="1">
      <alignment horizontal="left"/>
    </xf>
    <xf numFmtId="0" fontId="0" fillId="0" borderId="66" xfId="0" applyBorder="1" applyAlignment="1">
      <alignment horizontal="center"/>
    </xf>
    <xf numFmtId="170" fontId="0" fillId="0" borderId="22" xfId="0" applyNumberFormat="1" applyBorder="1"/>
    <xf numFmtId="170" fontId="15" fillId="0" borderId="23" xfId="0" applyNumberFormat="1" applyFont="1" applyBorder="1"/>
    <xf numFmtId="164" fontId="15" fillId="0" borderId="23" xfId="0" applyNumberFormat="1" applyFont="1" applyBorder="1"/>
    <xf numFmtId="164" fontId="0" fillId="0" borderId="22" xfId="0" applyNumberFormat="1" applyBorder="1"/>
    <xf numFmtId="164" fontId="5" fillId="0" borderId="23" xfId="0" applyNumberFormat="1" applyFont="1" applyBorder="1"/>
    <xf numFmtId="170" fontId="5" fillId="0" borderId="23" xfId="0" applyNumberFormat="1" applyFont="1" applyBorder="1"/>
    <xf numFmtId="164" fontId="5" fillId="0" borderId="63" xfId="0" applyNumberFormat="1" applyFont="1" applyBorder="1"/>
    <xf numFmtId="0" fontId="0" fillId="0" borderId="55" xfId="0" applyBorder="1" applyAlignment="1">
      <alignment horizontal="center"/>
    </xf>
    <xf numFmtId="0" fontId="10" fillId="0" borderId="0" xfId="0" applyFont="1" applyBorder="1"/>
    <xf numFmtId="0" fontId="0" fillId="0" borderId="22" xfId="0" quotePrefix="1" applyBorder="1" applyAlignment="1">
      <alignment horizontal="left"/>
    </xf>
    <xf numFmtId="0" fontId="0" fillId="0" borderId="24" xfId="0" quotePrefix="1" applyBorder="1" applyAlignment="1">
      <alignment horizontal="left"/>
    </xf>
    <xf numFmtId="0" fontId="0" fillId="0" borderId="10" xfId="0" quotePrefix="1" applyBorder="1" applyAlignment="1">
      <alignment horizontal="left"/>
    </xf>
    <xf numFmtId="0" fontId="0" fillId="0" borderId="2" xfId="0" applyBorder="1" applyAlignment="1">
      <alignment horizontal="left"/>
    </xf>
    <xf numFmtId="0" fontId="0" fillId="0" borderId="22" xfId="0" applyBorder="1"/>
    <xf numFmtId="170" fontId="0" fillId="0" borderId="19" xfId="0" applyNumberFormat="1" applyBorder="1"/>
    <xf numFmtId="0" fontId="0" fillId="0" borderId="23" xfId="0" applyBorder="1"/>
    <xf numFmtId="0" fontId="0" fillId="0" borderId="0" xfId="0" applyBorder="1"/>
    <xf numFmtId="0" fontId="10" fillId="0" borderId="28" xfId="0" applyFont="1" applyBorder="1" applyAlignment="1"/>
    <xf numFmtId="0" fontId="10" fillId="0" borderId="28" xfId="0" quotePrefix="1" applyFont="1" applyBorder="1" applyAlignment="1">
      <alignment horizontal="center"/>
    </xf>
    <xf numFmtId="0" fontId="10" fillId="0" borderId="55" xfId="0" applyFont="1" applyBorder="1" applyAlignment="1">
      <alignment horizontal="left"/>
    </xf>
    <xf numFmtId="171" fontId="12" fillId="0" borderId="55" xfId="0" applyNumberFormat="1" applyFont="1" applyBorder="1" applyAlignment="1">
      <alignment horizontal="center"/>
    </xf>
    <xf numFmtId="170" fontId="5" fillId="0" borderId="67" xfId="0" applyNumberFormat="1" applyFont="1" applyBorder="1" applyAlignment="1">
      <alignment horizontal="center"/>
    </xf>
    <xf numFmtId="0" fontId="0" fillId="0" borderId="0" xfId="0" applyNumberFormat="1" applyBorder="1"/>
    <xf numFmtId="0" fontId="0" fillId="0" borderId="68" xfId="0" applyBorder="1"/>
    <xf numFmtId="0" fontId="0" fillId="0" borderId="0" xfId="0" applyAlignment="1">
      <alignment horizontal="center"/>
    </xf>
    <xf numFmtId="0" fontId="10" fillId="0" borderId="69" xfId="0" applyFont="1" applyBorder="1" applyAlignment="1">
      <alignment horizontal="left"/>
    </xf>
    <xf numFmtId="0" fontId="0" fillId="0" borderId="20" xfId="0" applyBorder="1" applyAlignment="1">
      <alignment horizontal="center"/>
    </xf>
    <xf numFmtId="0" fontId="10" fillId="0" borderId="20" xfId="0" applyFont="1" applyBorder="1"/>
    <xf numFmtId="0" fontId="0" fillId="0" borderId="70" xfId="0" applyBorder="1" applyAlignment="1">
      <alignment horizontal="center"/>
    </xf>
    <xf numFmtId="0" fontId="0" fillId="0" borderId="71" xfId="0" applyBorder="1" applyAlignment="1">
      <alignment horizontal="center"/>
    </xf>
    <xf numFmtId="0" fontId="0" fillId="0" borderId="46" xfId="0" applyBorder="1" applyAlignment="1">
      <alignment horizontal="center"/>
    </xf>
    <xf numFmtId="170" fontId="5" fillId="0" borderId="27" xfId="0" applyNumberFormat="1" applyFont="1" applyBorder="1"/>
    <xf numFmtId="164" fontId="5" fillId="0" borderId="29" xfId="0" applyNumberFormat="1" applyFont="1" applyBorder="1"/>
    <xf numFmtId="170" fontId="5" fillId="0" borderId="29" xfId="0" applyNumberFormat="1" applyFont="1" applyBorder="1"/>
    <xf numFmtId="0" fontId="0" fillId="0" borderId="29" xfId="0" applyBorder="1"/>
    <xf numFmtId="164" fontId="5" fillId="0" borderId="72" xfId="0" applyNumberFormat="1" applyFont="1" applyBorder="1"/>
    <xf numFmtId="170" fontId="0" fillId="0" borderId="73" xfId="0" applyNumberFormat="1" applyBorder="1"/>
    <xf numFmtId="0" fontId="0" fillId="0" borderId="2" xfId="0" applyBorder="1" applyAlignment="1">
      <alignment horizontal="right"/>
    </xf>
    <xf numFmtId="164" fontId="5" fillId="0" borderId="14" xfId="0" applyNumberFormat="1" applyFont="1" applyFill="1" applyBorder="1" applyAlignment="1">
      <alignment horizontal="center"/>
    </xf>
    <xf numFmtId="164" fontId="5" fillId="0" borderId="15" xfId="0" applyNumberFormat="1" applyFont="1" applyFill="1" applyBorder="1" applyAlignment="1">
      <alignment horizontal="center"/>
    </xf>
    <xf numFmtId="170" fontId="0" fillId="0" borderId="0" xfId="0" applyNumberFormat="1"/>
    <xf numFmtId="11" fontId="0" fillId="0" borderId="0" xfId="0" applyNumberFormat="1"/>
    <xf numFmtId="2" fontId="0" fillId="0" borderId="0" xfId="0" applyNumberFormat="1"/>
    <xf numFmtId="0" fontId="0" fillId="0" borderId="74" xfId="0" applyBorder="1" applyAlignment="1"/>
    <xf numFmtId="0" fontId="0" fillId="0" borderId="55" xfId="0" applyBorder="1" applyAlignment="1"/>
    <xf numFmtId="0" fontId="12" fillId="0" borderId="14" xfId="0" quotePrefix="1" applyFont="1" applyBorder="1" applyAlignment="1">
      <alignment horizontal="center"/>
    </xf>
    <xf numFmtId="0" fontId="12" fillId="0" borderId="0" xfId="0" applyFont="1" applyBorder="1" applyAlignment="1">
      <alignment horizontal="center"/>
    </xf>
    <xf numFmtId="164" fontId="5" fillId="0" borderId="0" xfId="0" applyNumberFormat="1" applyFont="1" applyBorder="1" applyAlignment="1">
      <alignment horizontal="center"/>
    </xf>
    <xf numFmtId="2" fontId="5" fillId="0" borderId="0" xfId="0" applyNumberFormat="1" applyFont="1" applyBorder="1" applyAlignment="1">
      <alignment horizontal="center"/>
    </xf>
    <xf numFmtId="0" fontId="12" fillId="0" borderId="0" xfId="0" quotePrefix="1" applyFont="1" applyBorder="1" applyAlignment="1">
      <alignment horizontal="center"/>
    </xf>
    <xf numFmtId="2" fontId="5" fillId="0" borderId="54" xfId="0" applyNumberFormat="1" applyFont="1" applyBorder="1" applyAlignment="1">
      <alignment horizontal="center"/>
    </xf>
    <xf numFmtId="0" fontId="0" fillId="0" borderId="1" xfId="0" applyBorder="1" applyAlignment="1">
      <alignment horizontal="right"/>
    </xf>
    <xf numFmtId="0" fontId="0" fillId="0" borderId="2" xfId="0" applyBorder="1" applyAlignment="1">
      <alignment horizontal="center"/>
    </xf>
    <xf numFmtId="0" fontId="0" fillId="0" borderId="67" xfId="0" applyBorder="1"/>
    <xf numFmtId="0" fontId="0" fillId="0" borderId="75" xfId="0" applyBorder="1"/>
    <xf numFmtId="173" fontId="5" fillId="0" borderId="8" xfId="0" applyNumberFormat="1" applyFont="1" applyBorder="1" applyAlignment="1">
      <alignment horizontal="center"/>
    </xf>
    <xf numFmtId="173" fontId="5" fillId="0" borderId="11" xfId="0" applyNumberFormat="1" applyFont="1" applyBorder="1" applyAlignment="1">
      <alignment horizontal="center"/>
    </xf>
    <xf numFmtId="173" fontId="5" fillId="0" borderId="14" xfId="0" applyNumberFormat="1" applyFont="1" applyBorder="1" applyAlignment="1">
      <alignment horizontal="center"/>
    </xf>
    <xf numFmtId="0" fontId="4" fillId="0" borderId="55" xfId="0" applyFont="1" applyBorder="1" applyAlignment="1">
      <alignment horizontal="center"/>
    </xf>
    <xf numFmtId="0" fontId="4" fillId="0" borderId="0" xfId="0" applyFont="1" applyBorder="1" applyAlignment="1">
      <alignment horizontal="center"/>
    </xf>
    <xf numFmtId="3" fontId="4" fillId="0" borderId="0" xfId="0" applyNumberFormat="1" applyFont="1" applyBorder="1" applyAlignment="1">
      <alignment horizontal="center"/>
    </xf>
    <xf numFmtId="1" fontId="15" fillId="0" borderId="0" xfId="0" applyNumberFormat="1" applyFont="1"/>
    <xf numFmtId="174" fontId="15" fillId="0" borderId="0" xfId="0" applyNumberFormat="1" applyFont="1"/>
    <xf numFmtId="170" fontId="5" fillId="0" borderId="9" xfId="0" applyNumberFormat="1" applyFont="1" applyBorder="1"/>
    <xf numFmtId="170" fontId="5" fillId="0" borderId="12" xfId="0" applyNumberFormat="1" applyFont="1" applyBorder="1"/>
    <xf numFmtId="170" fontId="5" fillId="0" borderId="15" xfId="0" applyNumberFormat="1" applyFont="1" applyBorder="1"/>
    <xf numFmtId="170" fontId="5" fillId="0" borderId="8" xfId="0" applyNumberFormat="1" applyFont="1" applyBorder="1" applyAlignment="1">
      <alignment horizontal="center"/>
    </xf>
    <xf numFmtId="170" fontId="5" fillId="0" borderId="76" xfId="0" applyNumberFormat="1" applyFont="1" applyBorder="1" applyAlignment="1">
      <alignment horizontal="center"/>
    </xf>
    <xf numFmtId="170" fontId="5" fillId="0" borderId="77" xfId="0" applyNumberFormat="1" applyFont="1" applyBorder="1" applyAlignment="1">
      <alignment horizontal="center"/>
    </xf>
    <xf numFmtId="170" fontId="5" fillId="0" borderId="11" xfId="0" applyNumberFormat="1" applyFont="1" applyBorder="1" applyAlignment="1">
      <alignment horizontal="center"/>
    </xf>
    <xf numFmtId="170" fontId="5" fillId="0" borderId="29" xfId="0" applyNumberFormat="1" applyFont="1" applyBorder="1" applyAlignment="1">
      <alignment horizontal="center"/>
    </xf>
    <xf numFmtId="170" fontId="5" fillId="0" borderId="78" xfId="0" applyNumberFormat="1" applyFont="1" applyBorder="1" applyAlignment="1">
      <alignment horizontal="center"/>
    </xf>
    <xf numFmtId="170" fontId="5" fillId="0" borderId="14" xfId="0" applyNumberFormat="1" applyFont="1" applyBorder="1" applyAlignment="1">
      <alignment horizontal="center"/>
    </xf>
    <xf numFmtId="170" fontId="5" fillId="0" borderId="79" xfId="0" applyNumberFormat="1" applyFont="1" applyBorder="1" applyAlignment="1">
      <alignment horizontal="center"/>
    </xf>
    <xf numFmtId="170" fontId="5" fillId="0" borderId="80" xfId="0" applyNumberFormat="1" applyFont="1" applyBorder="1" applyAlignment="1">
      <alignment horizontal="center"/>
    </xf>
    <xf numFmtId="170" fontId="5" fillId="0" borderId="31" xfId="0" applyNumberFormat="1" applyFont="1" applyBorder="1" applyAlignment="1">
      <alignment horizontal="center"/>
    </xf>
    <xf numFmtId="0" fontId="0" fillId="0" borderId="35" xfId="0" applyBorder="1" applyAlignment="1">
      <alignment horizontal="center"/>
    </xf>
    <xf numFmtId="11" fontId="0" fillId="0" borderId="8" xfId="0" applyNumberFormat="1" applyBorder="1" applyAlignment="1">
      <alignment horizontal="center"/>
    </xf>
    <xf numFmtId="11" fontId="0" fillId="0" borderId="11" xfId="0" applyNumberFormat="1" applyBorder="1" applyAlignment="1">
      <alignment horizontal="center"/>
    </xf>
    <xf numFmtId="170" fontId="0" fillId="0" borderId="9" xfId="0" applyNumberFormat="1" applyBorder="1" applyAlignment="1">
      <alignment horizontal="center"/>
    </xf>
    <xf numFmtId="170" fontId="0" fillId="0" borderId="12" xfId="0" applyNumberFormat="1" applyBorder="1" applyAlignment="1">
      <alignment horizontal="center"/>
    </xf>
    <xf numFmtId="2" fontId="12" fillId="0" borderId="51" xfId="0" applyNumberFormat="1" applyFont="1" applyBorder="1" applyAlignment="1">
      <alignment horizontal="center"/>
    </xf>
    <xf numFmtId="0" fontId="0" fillId="0" borderId="65" xfId="0" applyBorder="1" applyAlignment="1">
      <alignment horizontal="center"/>
    </xf>
    <xf numFmtId="0" fontId="12" fillId="0" borderId="48" xfId="0" applyFont="1" applyBorder="1" applyAlignment="1">
      <alignment horizontal="center"/>
    </xf>
    <xf numFmtId="164" fontId="5" fillId="0" borderId="48" xfId="0" applyNumberFormat="1" applyFont="1" applyBorder="1" applyAlignment="1">
      <alignment horizontal="center"/>
    </xf>
    <xf numFmtId="2" fontId="5" fillId="0" borderId="63" xfId="0" applyNumberFormat="1" applyFont="1" applyBorder="1" applyAlignment="1">
      <alignment horizontal="center"/>
    </xf>
    <xf numFmtId="0" fontId="0" fillId="0" borderId="81" xfId="0" applyBorder="1" applyAlignment="1">
      <alignment horizontal="center"/>
    </xf>
    <xf numFmtId="2" fontId="5" fillId="0" borderId="72" xfId="0" applyNumberFormat="1" applyFont="1" applyBorder="1" applyAlignment="1">
      <alignment horizontal="center"/>
    </xf>
    <xf numFmtId="2" fontId="5" fillId="0" borderId="49" xfId="0" applyNumberFormat="1" applyFont="1" applyBorder="1" applyAlignment="1">
      <alignment horizontal="center"/>
    </xf>
    <xf numFmtId="0" fontId="12" fillId="0" borderId="55" xfId="0" applyFont="1" applyBorder="1" applyAlignment="1">
      <alignment horizontal="center"/>
    </xf>
    <xf numFmtId="164" fontId="5" fillId="0" borderId="55" xfId="0" applyNumberFormat="1" applyFont="1" applyBorder="1" applyAlignment="1">
      <alignment horizontal="center"/>
    </xf>
    <xf numFmtId="2" fontId="5" fillId="0" borderId="55" xfId="0" applyNumberFormat="1" applyFont="1" applyBorder="1" applyAlignment="1">
      <alignment horizontal="center"/>
    </xf>
    <xf numFmtId="0" fontId="12" fillId="0" borderId="55" xfId="0" quotePrefix="1" applyFont="1" applyBorder="1" applyAlignment="1">
      <alignment horizontal="center"/>
    </xf>
    <xf numFmtId="0" fontId="0" fillId="0" borderId="24" xfId="0" applyBorder="1" applyAlignment="1">
      <alignment horizontal="left"/>
    </xf>
    <xf numFmtId="0" fontId="0" fillId="0" borderId="67" xfId="0" applyBorder="1" applyAlignment="1"/>
    <xf numFmtId="0" fontId="0" fillId="0" borderId="0" xfId="0" applyBorder="1" applyAlignment="1"/>
    <xf numFmtId="0" fontId="0" fillId="0" borderId="2" xfId="0" applyBorder="1" applyAlignment="1"/>
    <xf numFmtId="0" fontId="0" fillId="0" borderId="19" xfId="0" applyBorder="1" applyAlignment="1">
      <alignment horizontal="left"/>
    </xf>
    <xf numFmtId="0" fontId="0" fillId="0" borderId="20" xfId="0" applyBorder="1" applyAlignment="1">
      <alignment horizontal="left"/>
    </xf>
    <xf numFmtId="171" fontId="12" fillId="0" borderId="20" xfId="0" applyNumberFormat="1" applyFont="1" applyBorder="1" applyAlignment="1">
      <alignment horizontal="center"/>
    </xf>
    <xf numFmtId="170" fontId="5" fillId="0" borderId="21" xfId="0" applyNumberFormat="1" applyFont="1" applyBorder="1" applyAlignment="1">
      <alignment horizontal="center"/>
    </xf>
    <xf numFmtId="0" fontId="0" fillId="0" borderId="62" xfId="0" applyBorder="1" applyAlignment="1">
      <alignment horizontal="center"/>
    </xf>
    <xf numFmtId="0" fontId="10" fillId="0" borderId="24" xfId="0" applyFont="1" applyBorder="1" applyAlignment="1">
      <alignment horizontal="left"/>
    </xf>
    <xf numFmtId="171" fontId="12" fillId="0" borderId="14" xfId="0" applyNumberFormat="1"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2" fillId="0" borderId="69" xfId="0" applyFont="1" applyBorder="1" applyAlignment="1">
      <alignment horizontal="left"/>
    </xf>
    <xf numFmtId="0" fontId="1" fillId="0" borderId="20" xfId="0" applyFont="1" applyBorder="1" applyAlignment="1">
      <alignment horizontal="center"/>
    </xf>
    <xf numFmtId="172" fontId="5" fillId="0" borderId="64" xfId="0" applyNumberFormat="1" applyFont="1" applyBorder="1"/>
    <xf numFmtId="172" fontId="0" fillId="0" borderId="8" xfId="0" applyNumberFormat="1" applyFill="1" applyBorder="1"/>
    <xf numFmtId="0" fontId="5" fillId="0" borderId="9" xfId="0" applyFont="1" applyBorder="1" applyAlignment="1">
      <alignment horizontal="center"/>
    </xf>
    <xf numFmtId="172" fontId="5" fillId="0" borderId="22" xfId="0" applyNumberFormat="1" applyFont="1" applyBorder="1"/>
    <xf numFmtId="172" fontId="0" fillId="0" borderId="11" xfId="0" applyNumberFormat="1" applyFill="1" applyBorder="1"/>
    <xf numFmtId="0" fontId="5" fillId="0" borderId="12" xfId="0" applyFont="1" applyBorder="1" applyAlignment="1">
      <alignment horizontal="center"/>
    </xf>
    <xf numFmtId="172" fontId="0" fillId="0" borderId="11" xfId="0" applyNumberFormat="1" applyBorder="1"/>
    <xf numFmtId="172" fontId="0" fillId="0" borderId="11" xfId="0" quotePrefix="1" applyNumberFormat="1" applyFill="1" applyBorder="1" applyAlignment="1">
      <alignment horizontal="center"/>
    </xf>
    <xf numFmtId="172" fontId="5" fillId="0" borderId="24" xfId="0" applyNumberFormat="1" applyFont="1" applyBorder="1"/>
    <xf numFmtId="172" fontId="0" fillId="0" borderId="14" xfId="0" applyNumberFormat="1" applyBorder="1"/>
    <xf numFmtId="0" fontId="5" fillId="0" borderId="15" xfId="0" applyFont="1" applyBorder="1" applyAlignment="1">
      <alignment horizontal="center"/>
    </xf>
    <xf numFmtId="164" fontId="5" fillId="0" borderId="20" xfId="0" applyNumberFormat="1" applyFont="1" applyBorder="1"/>
    <xf numFmtId="164" fontId="5" fillId="0" borderId="32" xfId="0" applyNumberFormat="1" applyFont="1" applyBorder="1"/>
    <xf numFmtId="170" fontId="5" fillId="0" borderId="82" xfId="0" applyNumberFormat="1" applyFont="1" applyBorder="1"/>
    <xf numFmtId="170" fontId="5" fillId="0" borderId="83" xfId="0" applyNumberFormat="1" applyFont="1" applyBorder="1"/>
    <xf numFmtId="172" fontId="0" fillId="0" borderId="14" xfId="0" applyNumberFormat="1" applyFill="1" applyBorder="1"/>
    <xf numFmtId="0" fontId="5" fillId="0" borderId="29" xfId="0" applyFont="1" applyBorder="1"/>
    <xf numFmtId="0" fontId="5" fillId="0" borderId="23" xfId="0" applyFont="1" applyBorder="1"/>
    <xf numFmtId="0" fontId="16" fillId="0" borderId="0" xfId="0" applyFont="1"/>
    <xf numFmtId="0" fontId="0" fillId="0" borderId="7" xfId="0" applyBorder="1"/>
    <xf numFmtId="0" fontId="0" fillId="0" borderId="10" xfId="0" applyBorder="1"/>
    <xf numFmtId="0" fontId="0" fillId="0" borderId="13" xfId="0" applyBorder="1"/>
    <xf numFmtId="164" fontId="0" fillId="0" borderId="8" xfId="0" applyNumberFormat="1" applyBorder="1"/>
    <xf numFmtId="164" fontId="0" fillId="0" borderId="11" xfId="0" applyNumberFormat="1" applyBorder="1"/>
    <xf numFmtId="164" fontId="0" fillId="0" borderId="14" xfId="0" applyNumberFormat="1" applyBorder="1"/>
    <xf numFmtId="2" fontId="0" fillId="0" borderId="8" xfId="0" applyNumberFormat="1" applyBorder="1"/>
    <xf numFmtId="2" fontId="0" fillId="0" borderId="11" xfId="0" applyNumberFormat="1" applyBorder="1"/>
    <xf numFmtId="2" fontId="0" fillId="0" borderId="14" xfId="0" applyNumberFormat="1" applyBorder="1"/>
    <xf numFmtId="2" fontId="0" fillId="0" borderId="9" xfId="0" applyNumberFormat="1" applyBorder="1"/>
    <xf numFmtId="2" fontId="0" fillId="0" borderId="12" xfId="0" applyNumberFormat="1" applyBorder="1"/>
    <xf numFmtId="2" fontId="0" fillId="0" borderId="15" xfId="0" applyNumberFormat="1" applyBorder="1"/>
    <xf numFmtId="11" fontId="0" fillId="0" borderId="15" xfId="0" applyNumberFormat="1" applyBorder="1"/>
    <xf numFmtId="2" fontId="4" fillId="0" borderId="51" xfId="0" applyNumberFormat="1" applyFont="1" applyBorder="1" applyAlignment="1">
      <alignment horizontal="center"/>
    </xf>
    <xf numFmtId="11" fontId="0" fillId="0" borderId="14" xfId="0" applyNumberFormat="1" applyBorder="1"/>
    <xf numFmtId="0" fontId="17" fillId="0" borderId="68" xfId="0" applyFont="1" applyBorder="1"/>
    <xf numFmtId="0" fontId="0" fillId="0" borderId="0" xfId="0" applyNumberFormat="1" applyAlignment="1">
      <alignment horizontal="left" vertical="top" wrapText="1"/>
    </xf>
    <xf numFmtId="3" fontId="0" fillId="0" borderId="2" xfId="0" applyNumberFormat="1" applyBorder="1"/>
    <xf numFmtId="0" fontId="7" fillId="2" borderId="84" xfId="0" applyFont="1" applyFill="1" applyBorder="1" applyAlignment="1">
      <alignment horizontal="center"/>
    </xf>
    <xf numFmtId="0" fontId="7" fillId="2" borderId="85" xfId="0" applyFont="1" applyFill="1" applyBorder="1" applyAlignment="1">
      <alignment horizontal="center"/>
    </xf>
    <xf numFmtId="0" fontId="7" fillId="2" borderId="86" xfId="0" applyFont="1" applyFill="1" applyBorder="1" applyAlignment="1">
      <alignment horizontal="center"/>
    </xf>
    <xf numFmtId="164" fontId="7" fillId="2" borderId="84" xfId="0" applyNumberFormat="1" applyFont="1" applyFill="1" applyBorder="1" applyAlignment="1">
      <alignment horizontal="center"/>
    </xf>
    <xf numFmtId="2" fontId="7" fillId="2" borderId="84" xfId="0" applyNumberFormat="1" applyFont="1" applyFill="1" applyBorder="1" applyAlignment="1">
      <alignment horizontal="center"/>
    </xf>
    <xf numFmtId="0" fontId="7" fillId="0" borderId="0" xfId="0" applyFont="1"/>
    <xf numFmtId="0" fontId="7" fillId="2" borderId="87" xfId="0" applyFont="1" applyFill="1" applyBorder="1" applyAlignment="1">
      <alignment horizontal="center"/>
    </xf>
    <xf numFmtId="0" fontId="7" fillId="2" borderId="88" xfId="0" applyFont="1" applyFill="1" applyBorder="1" applyAlignment="1">
      <alignment horizontal="center"/>
    </xf>
    <xf numFmtId="0" fontId="7" fillId="2" borderId="89" xfId="0" applyFont="1" applyFill="1" applyBorder="1" applyAlignment="1">
      <alignment horizontal="center"/>
    </xf>
    <xf numFmtId="0" fontId="7" fillId="2" borderId="0" xfId="0" applyFont="1" applyFill="1" applyBorder="1" applyAlignment="1">
      <alignment horizontal="center"/>
    </xf>
    <xf numFmtId="0" fontId="7" fillId="2" borderId="90" xfId="0" applyFont="1" applyFill="1" applyBorder="1" applyAlignment="1">
      <alignment horizontal="center"/>
    </xf>
    <xf numFmtId="164" fontId="5" fillId="0" borderId="11" xfId="0" quotePrefix="1" applyNumberFormat="1" applyFont="1" applyBorder="1" applyAlignment="1">
      <alignment horizontal="center"/>
    </xf>
    <xf numFmtId="2" fontId="5" fillId="0" borderId="12" xfId="0" quotePrefix="1" applyNumberFormat="1" applyFont="1" applyBorder="1" applyAlignment="1">
      <alignment horizontal="center"/>
    </xf>
    <xf numFmtId="0" fontId="18" fillId="2" borderId="84" xfId="0" applyFont="1" applyFill="1" applyBorder="1" applyAlignment="1">
      <alignment horizontal="center"/>
    </xf>
    <xf numFmtId="174" fontId="4" fillId="0" borderId="0" xfId="0" applyNumberFormat="1" applyFont="1" applyBorder="1" applyAlignment="1">
      <alignment horizontal="center"/>
    </xf>
    <xf numFmtId="174" fontId="4" fillId="0" borderId="0" xfId="0" applyNumberFormat="1" applyFont="1" applyFill="1" applyBorder="1" applyAlignment="1">
      <alignment horizontal="center"/>
    </xf>
    <xf numFmtId="164" fontId="12" fillId="0" borderId="8" xfId="0" applyNumberFormat="1" applyFont="1" applyBorder="1"/>
    <xf numFmtId="2" fontId="12" fillId="0" borderId="8" xfId="0" applyNumberFormat="1" applyFont="1" applyBorder="1"/>
    <xf numFmtId="164" fontId="12" fillId="0" borderId="11" xfId="0" applyNumberFormat="1" applyFont="1" applyBorder="1"/>
    <xf numFmtId="2" fontId="12" fillId="0" borderId="11" xfId="0" applyNumberFormat="1" applyFont="1" applyBorder="1"/>
    <xf numFmtId="0" fontId="17" fillId="0" borderId="0" xfId="0" applyFont="1"/>
    <xf numFmtId="164" fontId="5" fillId="0" borderId="27" xfId="0" applyNumberFormat="1" applyFont="1" applyBorder="1"/>
    <xf numFmtId="164" fontId="5" fillId="0" borderId="62" xfId="0" applyNumberFormat="1" applyFont="1" applyBorder="1"/>
    <xf numFmtId="164" fontId="0" fillId="0" borderId="73" xfId="0" applyNumberFormat="1" applyBorder="1"/>
    <xf numFmtId="0" fontId="0" fillId="0" borderId="0" xfId="0" quotePrefix="1"/>
    <xf numFmtId="164" fontId="5" fillId="0" borderId="76" xfId="0" applyNumberFormat="1" applyFont="1" applyBorder="1"/>
    <xf numFmtId="172" fontId="5" fillId="0" borderId="0" xfId="0" applyNumberFormat="1" applyFont="1" applyBorder="1"/>
    <xf numFmtId="172" fontId="0" fillId="0" borderId="0" xfId="0" applyNumberFormat="1" applyFill="1" applyBorder="1"/>
    <xf numFmtId="0" fontId="5" fillId="0" borderId="0" xfId="0" applyFont="1" applyBorder="1" applyAlignment="1">
      <alignment horizontal="center"/>
    </xf>
    <xf numFmtId="0" fontId="0" fillId="0" borderId="64" xfId="0" applyBorder="1" applyAlignment="1">
      <alignment horizontal="center"/>
    </xf>
    <xf numFmtId="0" fontId="12" fillId="0" borderId="8" xfId="0" applyFont="1" applyBorder="1" applyAlignment="1">
      <alignment horizontal="center"/>
    </xf>
    <xf numFmtId="164" fontId="5" fillId="0" borderId="8" xfId="0" applyNumberFormat="1" applyFont="1" applyBorder="1" applyAlignment="1">
      <alignment horizontal="center"/>
    </xf>
    <xf numFmtId="2" fontId="5" fillId="0" borderId="9" xfId="0" applyNumberFormat="1" applyFont="1" applyBorder="1" applyAlignment="1">
      <alignment horizontal="center"/>
    </xf>
    <xf numFmtId="2" fontId="5" fillId="0" borderId="62" xfId="0" applyNumberFormat="1" applyFont="1" applyBorder="1" applyAlignment="1">
      <alignment horizontal="center"/>
    </xf>
    <xf numFmtId="0" fontId="0" fillId="0" borderId="91" xfId="0" applyBorder="1" applyAlignment="1">
      <alignment horizontal="left"/>
    </xf>
    <xf numFmtId="0" fontId="0" fillId="0" borderId="92" xfId="0" applyBorder="1" applyAlignment="1">
      <alignment horizontal="center"/>
    </xf>
    <xf numFmtId="0" fontId="0" fillId="0" borderId="92" xfId="0" applyBorder="1" applyAlignment="1">
      <alignment horizontal="left"/>
    </xf>
    <xf numFmtId="11" fontId="0" fillId="0" borderId="92" xfId="0" applyNumberFormat="1" applyBorder="1" applyAlignment="1">
      <alignment horizontal="center"/>
    </xf>
    <xf numFmtId="170" fontId="22" fillId="0" borderId="93" xfId="0" applyNumberFormat="1" applyFont="1" applyBorder="1" applyAlignment="1">
      <alignment horizontal="center"/>
    </xf>
    <xf numFmtId="0" fontId="13" fillId="0" borderId="1" xfId="0" applyFont="1" applyBorder="1"/>
    <xf numFmtId="0" fontId="13" fillId="0" borderId="2" xfId="0" applyFont="1" applyBorder="1" applyAlignment="1">
      <alignment horizontal="right"/>
    </xf>
    <xf numFmtId="0" fontId="13" fillId="0" borderId="0" xfId="0" applyFont="1" applyBorder="1"/>
    <xf numFmtId="0" fontId="23" fillId="0" borderId="0" xfId="0" applyFont="1" applyBorder="1" applyAlignment="1">
      <alignment horizontal="center"/>
    </xf>
    <xf numFmtId="0" fontId="13" fillId="0" borderId="68" xfId="0" applyFont="1" applyBorder="1"/>
    <xf numFmtId="3" fontId="23" fillId="0" borderId="0" xfId="0" applyNumberFormat="1" applyFont="1" applyBorder="1" applyAlignment="1">
      <alignment horizontal="center"/>
    </xf>
    <xf numFmtId="2" fontId="13" fillId="0" borderId="0" xfId="0" applyNumberFormat="1" applyFont="1"/>
    <xf numFmtId="4" fontId="0" fillId="0" borderId="8" xfId="0" applyNumberFormat="1" applyBorder="1"/>
    <xf numFmtId="4" fontId="0" fillId="0" borderId="9" xfId="0" applyNumberFormat="1" applyBorder="1"/>
    <xf numFmtId="4" fontId="0" fillId="0" borderId="11" xfId="0" applyNumberFormat="1" applyBorder="1"/>
    <xf numFmtId="4" fontId="0" fillId="0" borderId="12" xfId="0" applyNumberFormat="1" applyBorder="1"/>
    <xf numFmtId="4" fontId="0" fillId="0" borderId="14" xfId="0" applyNumberFormat="1" applyBorder="1"/>
    <xf numFmtId="4" fontId="0" fillId="0" borderId="15" xfId="0" applyNumberFormat="1" applyBorder="1"/>
    <xf numFmtId="177" fontId="0" fillId="0" borderId="8" xfId="0" applyNumberFormat="1" applyBorder="1"/>
    <xf numFmtId="177" fontId="0" fillId="0" borderId="11" xfId="0" applyNumberFormat="1" applyBorder="1"/>
    <xf numFmtId="177" fontId="0" fillId="0" borderId="14" xfId="0" applyNumberFormat="1" applyBorder="1"/>
    <xf numFmtId="3" fontId="0" fillId="0" borderId="11" xfId="0" applyNumberFormat="1" applyBorder="1"/>
    <xf numFmtId="0" fontId="0" fillId="0" borderId="0" xfId="0" applyFill="1" applyBorder="1"/>
    <xf numFmtId="2" fontId="4" fillId="0" borderId="0" xfId="0" applyNumberFormat="1" applyFont="1" applyBorder="1" applyAlignment="1">
      <alignment horizontal="center"/>
    </xf>
    <xf numFmtId="0" fontId="0" fillId="0" borderId="0" xfId="0" applyBorder="1" applyAlignment="1">
      <alignment horizontal="left"/>
    </xf>
    <xf numFmtId="3" fontId="15" fillId="0" borderId="0" xfId="0" applyNumberFormat="1" applyFont="1"/>
    <xf numFmtId="2" fontId="15" fillId="0" borderId="0" xfId="0" applyNumberFormat="1" applyFont="1"/>
    <xf numFmtId="0" fontId="0" fillId="0" borderId="94" xfId="0" applyBorder="1" applyAlignment="1">
      <alignment horizontal="center"/>
    </xf>
    <xf numFmtId="164" fontId="5" fillId="0" borderId="22" xfId="0" applyNumberFormat="1" applyFont="1" applyBorder="1"/>
    <xf numFmtId="2" fontId="5" fillId="0" borderId="23" xfId="0" applyNumberFormat="1" applyFont="1" applyBorder="1"/>
    <xf numFmtId="164" fontId="5" fillId="0" borderId="24" xfId="0" applyNumberFormat="1" applyFont="1" applyBorder="1"/>
    <xf numFmtId="2" fontId="5" fillId="0" borderId="25" xfId="0" applyNumberFormat="1" applyFont="1" applyBorder="1"/>
    <xf numFmtId="0" fontId="13" fillId="0" borderId="94" xfId="0" applyFont="1" applyBorder="1" applyAlignment="1">
      <alignment horizontal="center"/>
    </xf>
    <xf numFmtId="0" fontId="13" fillId="0" borderId="95" xfId="0" applyFont="1" applyBorder="1" applyAlignment="1">
      <alignment horizontal="center"/>
    </xf>
    <xf numFmtId="2" fontId="13" fillId="0" borderId="0" xfId="0" applyNumberFormat="1" applyFont="1" applyBorder="1"/>
    <xf numFmtId="11" fontId="0" fillId="0" borderId="9" xfId="0" applyNumberFormat="1" applyBorder="1"/>
    <xf numFmtId="11" fontId="0" fillId="0" borderId="12" xfId="0" applyNumberFormat="1" applyBorder="1"/>
    <xf numFmtId="0" fontId="0" fillId="0" borderId="96" xfId="0" applyBorder="1"/>
    <xf numFmtId="0" fontId="0" fillId="0" borderId="94" xfId="0" applyBorder="1"/>
    <xf numFmtId="0" fontId="0" fillId="0" borderId="95" xfId="0" applyBorder="1"/>
    <xf numFmtId="164" fontId="0" fillId="0" borderId="97" xfId="0" applyNumberFormat="1" applyBorder="1"/>
    <xf numFmtId="164" fontId="0" fillId="0" borderId="28" xfId="0" applyNumberFormat="1" applyBorder="1"/>
    <xf numFmtId="164" fontId="0" fillId="0" borderId="30" xfId="0" applyNumberFormat="1" applyBorder="1"/>
    <xf numFmtId="164" fontId="0" fillId="0" borderId="64" xfId="0" applyNumberFormat="1" applyBorder="1"/>
    <xf numFmtId="2" fontId="0" fillId="0" borderId="62" xfId="0" applyNumberFormat="1" applyBorder="1"/>
    <xf numFmtId="2" fontId="0" fillId="0" borderId="23" xfId="0" applyNumberFormat="1" applyBorder="1"/>
    <xf numFmtId="164" fontId="0" fillId="0" borderId="24" xfId="0" applyNumberFormat="1" applyBorder="1"/>
    <xf numFmtId="2" fontId="0" fillId="0" borderId="25" xfId="0" applyNumberFormat="1" applyBorder="1"/>
    <xf numFmtId="170" fontId="15" fillId="0" borderId="8" xfId="0" applyNumberFormat="1" applyFont="1" applyBorder="1"/>
    <xf numFmtId="170" fontId="15" fillId="0" borderId="20" xfId="0" applyNumberFormat="1" applyFont="1" applyBorder="1"/>
    <xf numFmtId="164" fontId="15" fillId="0" borderId="11" xfId="0" applyNumberFormat="1" applyFont="1" applyBorder="1"/>
    <xf numFmtId="170" fontId="15" fillId="0" borderId="11" xfId="0" applyNumberFormat="1" applyFont="1" applyBorder="1"/>
    <xf numFmtId="164" fontId="15" fillId="0" borderId="48" xfId="0" applyNumberFormat="1" applyFont="1" applyBorder="1"/>
    <xf numFmtId="0" fontId="0" fillId="0" borderId="68" xfId="0" applyBorder="1" applyAlignment="1"/>
    <xf numFmtId="0" fontId="13" fillId="0" borderId="98" xfId="0" applyFont="1" applyBorder="1" applyAlignment="1"/>
    <xf numFmtId="164" fontId="0" fillId="0" borderId="99" xfId="0" applyNumberFormat="1" applyBorder="1" applyAlignment="1"/>
    <xf numFmtId="170" fontId="24" fillId="0" borderId="8" xfId="0" applyNumberFormat="1" applyFont="1" applyBorder="1"/>
    <xf numFmtId="170" fontId="24" fillId="0" borderId="62" xfId="0" applyNumberFormat="1" applyFont="1" applyBorder="1"/>
    <xf numFmtId="170" fontId="24" fillId="0" borderId="20" xfId="0" applyNumberFormat="1" applyFont="1" applyBorder="1"/>
    <xf numFmtId="170" fontId="24" fillId="0" borderId="21" xfId="0" applyNumberFormat="1" applyFont="1" applyBorder="1"/>
    <xf numFmtId="164" fontId="24" fillId="0" borderId="11" xfId="0" applyNumberFormat="1" applyFont="1" applyBorder="1"/>
    <xf numFmtId="164" fontId="24" fillId="0" borderId="23" xfId="0" applyNumberFormat="1" applyFont="1" applyBorder="1"/>
    <xf numFmtId="170" fontId="24" fillId="0" borderId="11" xfId="0" applyNumberFormat="1" applyFont="1" applyBorder="1"/>
    <xf numFmtId="170" fontId="24" fillId="0" borderId="23" xfId="0" applyNumberFormat="1" applyFont="1" applyBorder="1"/>
    <xf numFmtId="164" fontId="24" fillId="0" borderId="48" xfId="0" applyNumberFormat="1" applyFont="1" applyBorder="1"/>
    <xf numFmtId="164" fontId="24" fillId="0" borderId="63" xfId="0" applyNumberFormat="1" applyFont="1" applyBorder="1"/>
    <xf numFmtId="177" fontId="0" fillId="0" borderId="0" xfId="0" applyNumberFormat="1" applyBorder="1"/>
    <xf numFmtId="4" fontId="0" fillId="0" borderId="0" xfId="0" applyNumberFormat="1" applyBorder="1"/>
    <xf numFmtId="0" fontId="0" fillId="0" borderId="10" xfId="0" applyFont="1" applyFill="1" applyBorder="1"/>
    <xf numFmtId="0" fontId="0" fillId="0" borderId="13" xfId="0" applyFont="1" applyFill="1" applyBorder="1"/>
    <xf numFmtId="0" fontId="13" fillId="0" borderId="7" xfId="0" applyFont="1" applyBorder="1"/>
    <xf numFmtId="0" fontId="13" fillId="0" borderId="10" xfId="0" applyFont="1" applyBorder="1"/>
    <xf numFmtId="0" fontId="13" fillId="0" borderId="13" xfId="0" applyFont="1" applyBorder="1" applyAlignment="1">
      <alignment horizontal="center"/>
    </xf>
    <xf numFmtId="0" fontId="0" fillId="0" borderId="91" xfId="0" applyBorder="1" applyAlignment="1">
      <alignment horizontal="center"/>
    </xf>
    <xf numFmtId="0" fontId="12" fillId="0" borderId="92" xfId="0" applyFont="1" applyBorder="1" applyAlignment="1">
      <alignment horizontal="center"/>
    </xf>
    <xf numFmtId="164" fontId="5" fillId="0" borderId="92" xfId="0" applyNumberFormat="1" applyFont="1" applyBorder="1" applyAlignment="1">
      <alignment horizontal="center"/>
    </xf>
    <xf numFmtId="2" fontId="5" fillId="0" borderId="100" xfId="0" applyNumberFormat="1" applyFont="1" applyBorder="1" applyAlignment="1">
      <alignment horizontal="center"/>
    </xf>
    <xf numFmtId="2" fontId="5" fillId="0" borderId="93" xfId="0" applyNumberFormat="1" applyFont="1" applyBorder="1" applyAlignment="1">
      <alignment horizontal="center"/>
    </xf>
    <xf numFmtId="11" fontId="0" fillId="0" borderId="11" xfId="0" applyNumberFormat="1" applyBorder="1"/>
    <xf numFmtId="0" fontId="19" fillId="0" borderId="45" xfId="0" applyFont="1" applyBorder="1" applyAlignment="1">
      <alignment horizontal="center"/>
    </xf>
    <xf numFmtId="0" fontId="19" fillId="0" borderId="101" xfId="0" applyFont="1" applyBorder="1" applyAlignment="1">
      <alignment horizontal="center"/>
    </xf>
    <xf numFmtId="11" fontId="0" fillId="0" borderId="20" xfId="0" applyNumberFormat="1" applyBorder="1"/>
    <xf numFmtId="11" fontId="0" fillId="0" borderId="32" xfId="0" applyNumberFormat="1" applyBorder="1"/>
    <xf numFmtId="2" fontId="0" fillId="0" borderId="26" xfId="0" applyNumberFormat="1" applyBorder="1"/>
    <xf numFmtId="2" fontId="0" fillId="0" borderId="28" xfId="0" applyNumberFormat="1" applyBorder="1"/>
    <xf numFmtId="2" fontId="0" fillId="0" borderId="30" xfId="0" applyNumberFormat="1" applyBorder="1"/>
    <xf numFmtId="0" fontId="13" fillId="0" borderId="102" xfId="0" applyFont="1" applyBorder="1"/>
    <xf numFmtId="0" fontId="13" fillId="0" borderId="103" xfId="0" applyFont="1" applyBorder="1"/>
    <xf numFmtId="0" fontId="13" fillId="0" borderId="104" xfId="0" applyFont="1" applyBorder="1"/>
    <xf numFmtId="0" fontId="19" fillId="0" borderId="105" xfId="0" applyFont="1" applyBorder="1" applyAlignment="1">
      <alignment horizontal="center"/>
    </xf>
    <xf numFmtId="0" fontId="13" fillId="0" borderId="7" xfId="0" applyFont="1" applyBorder="1" applyAlignment="1">
      <alignment horizontal="center"/>
    </xf>
    <xf numFmtId="2" fontId="24" fillId="0" borderId="26" xfId="0" applyNumberFormat="1" applyFont="1" applyBorder="1"/>
    <xf numFmtId="11" fontId="24" fillId="0" borderId="20" xfId="0" applyNumberFormat="1" applyFont="1" applyBorder="1"/>
    <xf numFmtId="11" fontId="24" fillId="0" borderId="32" xfId="0" applyNumberFormat="1" applyFont="1" applyBorder="1"/>
    <xf numFmtId="2" fontId="24" fillId="0" borderId="28" xfId="0" applyNumberFormat="1" applyFont="1" applyBorder="1"/>
    <xf numFmtId="11" fontId="24" fillId="0" borderId="11" xfId="0" applyNumberFormat="1" applyFont="1" applyBorder="1"/>
    <xf numFmtId="11" fontId="24" fillId="0" borderId="12" xfId="0" applyNumberFormat="1" applyFont="1" applyBorder="1"/>
    <xf numFmtId="2" fontId="24" fillId="0" borderId="30" xfId="0" applyNumberFormat="1" applyFont="1" applyBorder="1"/>
    <xf numFmtId="11" fontId="24" fillId="0" borderId="14" xfId="0" applyNumberFormat="1" applyFont="1" applyBorder="1"/>
    <xf numFmtId="11" fontId="24" fillId="0" borderId="15" xfId="0" applyNumberFormat="1" applyFont="1" applyBorder="1"/>
    <xf numFmtId="2" fontId="24" fillId="0" borderId="11" xfId="0" applyNumberFormat="1" applyFont="1" applyBorder="1"/>
    <xf numFmtId="2" fontId="24" fillId="0" borderId="12" xfId="0" applyNumberFormat="1" applyFont="1" applyBorder="1"/>
    <xf numFmtId="164" fontId="24" fillId="0" borderId="14" xfId="0" applyNumberFormat="1" applyFont="1" applyBorder="1"/>
    <xf numFmtId="2" fontId="24" fillId="0" borderId="14" xfId="0" applyNumberFormat="1" applyFont="1" applyBorder="1"/>
    <xf numFmtId="2" fontId="24" fillId="0" borderId="15" xfId="0" applyNumberFormat="1" applyFont="1" applyBorder="1"/>
    <xf numFmtId="0" fontId="25" fillId="0" borderId="0" xfId="0" applyFont="1"/>
    <xf numFmtId="1" fontId="25" fillId="0" borderId="0" xfId="0" applyNumberFormat="1" applyFont="1"/>
    <xf numFmtId="3" fontId="24" fillId="0" borderId="8" xfId="0" applyNumberFormat="1" applyFont="1" applyBorder="1"/>
    <xf numFmtId="3" fontId="24" fillId="0" borderId="9" xfId="0" applyNumberFormat="1" applyFont="1" applyBorder="1"/>
    <xf numFmtId="3" fontId="0" fillId="0" borderId="11" xfId="0" applyNumberFormat="1" applyBorder="1" applyAlignment="1">
      <alignment horizontal="right"/>
    </xf>
    <xf numFmtId="0" fontId="13" fillId="0" borderId="11" xfId="0" applyFont="1" applyBorder="1"/>
    <xf numFmtId="0" fontId="13" fillId="0" borderId="14" xfId="0" applyFont="1" applyBorder="1"/>
    <xf numFmtId="0" fontId="13" fillId="0" borderId="12" xfId="0" applyFont="1" applyBorder="1"/>
    <xf numFmtId="0" fontId="13" fillId="0" borderId="15" xfId="0" applyFont="1" applyBorder="1"/>
    <xf numFmtId="170" fontId="0" fillId="0" borderId="11" xfId="0" applyNumberFormat="1" applyBorder="1" applyAlignment="1">
      <alignment horizontal="right"/>
    </xf>
    <xf numFmtId="170" fontId="0" fillId="0" borderId="14" xfId="0" applyNumberFormat="1" applyBorder="1" applyAlignment="1">
      <alignment horizontal="right"/>
    </xf>
    <xf numFmtId="177" fontId="0" fillId="0" borderId="12" xfId="0" applyNumberFormat="1" applyBorder="1"/>
    <xf numFmtId="177" fontId="0" fillId="0" borderId="15" xfId="0" applyNumberFormat="1" applyBorder="1"/>
    <xf numFmtId="3" fontId="0" fillId="0" borderId="12" xfId="0" applyNumberFormat="1" applyBorder="1"/>
    <xf numFmtId="3" fontId="0" fillId="0" borderId="14" xfId="0" applyNumberFormat="1" applyBorder="1"/>
    <xf numFmtId="3" fontId="0" fillId="0" borderId="15" xfId="0" applyNumberFormat="1" applyBorder="1"/>
    <xf numFmtId="174" fontId="25" fillId="0" borderId="0" xfId="0" applyNumberFormat="1" applyFont="1"/>
    <xf numFmtId="0" fontId="21" fillId="0" borderId="0" xfId="0" applyFont="1" applyAlignment="1"/>
    <xf numFmtId="14" fontId="0" fillId="0" borderId="0" xfId="0" applyNumberFormat="1" applyAlignment="1"/>
    <xf numFmtId="170" fontId="15" fillId="0" borderId="62" xfId="0" applyNumberFormat="1" applyFont="1" applyBorder="1"/>
    <xf numFmtId="170" fontId="15" fillId="0" borderId="48" xfId="0" applyNumberFormat="1" applyFont="1" applyBorder="1"/>
    <xf numFmtId="170" fontId="15" fillId="0" borderId="63" xfId="0" applyNumberFormat="1" applyFont="1" applyBorder="1"/>
    <xf numFmtId="0" fontId="0" fillId="0" borderId="106" xfId="0" applyBorder="1" applyAlignment="1"/>
    <xf numFmtId="0" fontId="0" fillId="0" borderId="53" xfId="0" applyBorder="1" applyAlignment="1"/>
    <xf numFmtId="0" fontId="0" fillId="0" borderId="98" xfId="0" applyBorder="1" applyAlignment="1"/>
    <xf numFmtId="164" fontId="13" fillId="0" borderId="99" xfId="0" applyNumberFormat="1" applyFont="1" applyBorder="1" applyAlignment="1"/>
    <xf numFmtId="11" fontId="15" fillId="0" borderId="11" xfId="0" applyNumberFormat="1" applyFont="1" applyBorder="1"/>
    <xf numFmtId="11" fontId="15" fillId="0" borderId="23" xfId="0" applyNumberFormat="1" applyFont="1" applyBorder="1"/>
    <xf numFmtId="0" fontId="0" fillId="0" borderId="103" xfId="0" applyBorder="1"/>
    <xf numFmtId="0" fontId="0" fillId="0" borderId="107" xfId="0" applyBorder="1"/>
    <xf numFmtId="0" fontId="0" fillId="0" borderId="78" xfId="0" applyBorder="1"/>
    <xf numFmtId="0" fontId="0" fillId="0" borderId="104" xfId="0" applyBorder="1"/>
    <xf numFmtId="0" fontId="0" fillId="0" borderId="108" xfId="0" applyBorder="1"/>
    <xf numFmtId="0" fontId="0" fillId="0" borderId="80" xfId="0" applyBorder="1"/>
    <xf numFmtId="0" fontId="13" fillId="0" borderId="109" xfId="0" applyFont="1" applyBorder="1"/>
    <xf numFmtId="0" fontId="13" fillId="0" borderId="110" xfId="0" applyFont="1" applyBorder="1"/>
    <xf numFmtId="0" fontId="13" fillId="0" borderId="111" xfId="0" applyFont="1" applyBorder="1"/>
    <xf numFmtId="0" fontId="13" fillId="0" borderId="112" xfId="0" applyFont="1" applyBorder="1"/>
    <xf numFmtId="0" fontId="13" fillId="0" borderId="78" xfId="0" applyFont="1" applyBorder="1"/>
    <xf numFmtId="0" fontId="26" fillId="0" borderId="0" xfId="0" applyFont="1"/>
    <xf numFmtId="0" fontId="27" fillId="2" borderId="84" xfId="0" applyFont="1" applyFill="1" applyBorder="1" applyAlignment="1">
      <alignment horizontal="center"/>
    </xf>
    <xf numFmtId="0" fontId="23" fillId="0" borderId="0" xfId="0" applyFont="1" applyBorder="1"/>
    <xf numFmtId="0" fontId="0" fillId="0" borderId="0" xfId="0" applyFont="1" applyFill="1" applyBorder="1"/>
    <xf numFmtId="0" fontId="0" fillId="0" borderId="113" xfId="0" applyBorder="1" applyAlignment="1">
      <alignment horizontal="center"/>
    </xf>
    <xf numFmtId="0" fontId="0" fillId="0" borderId="114" xfId="0" applyBorder="1" applyAlignment="1">
      <alignment horizontal="center"/>
    </xf>
    <xf numFmtId="0" fontId="0" fillId="0" borderId="115" xfId="0" applyBorder="1" applyAlignment="1">
      <alignment horizontal="center"/>
    </xf>
    <xf numFmtId="0" fontId="0" fillId="0" borderId="106" xfId="0" applyBorder="1"/>
    <xf numFmtId="0" fontId="2" fillId="0" borderId="1" xfId="0" applyFont="1" applyFill="1" applyBorder="1" applyAlignment="1">
      <alignment horizontal="left"/>
    </xf>
    <xf numFmtId="0" fontId="13" fillId="0" borderId="3" xfId="0" applyFont="1" applyFill="1" applyBorder="1" applyAlignment="1">
      <alignment horizontal="right"/>
    </xf>
    <xf numFmtId="0" fontId="13" fillId="0" borderId="106" xfId="0" applyFont="1" applyFill="1" applyBorder="1"/>
    <xf numFmtId="0" fontId="13" fillId="0" borderId="0" xfId="0" applyFont="1" applyAlignment="1">
      <alignment horizontal="right"/>
    </xf>
    <xf numFmtId="0" fontId="13" fillId="0" borderId="116" xfId="0" applyFont="1" applyBorder="1" applyAlignment="1">
      <alignment horizontal="center"/>
    </xf>
    <xf numFmtId="0" fontId="23" fillId="0" borderId="106" xfId="0" applyFont="1" applyBorder="1" applyAlignment="1">
      <alignment horizontal="center"/>
    </xf>
    <xf numFmtId="0" fontId="15" fillId="0" borderId="0" xfId="0" applyFont="1" applyAlignment="1">
      <alignment horizontal="center"/>
    </xf>
    <xf numFmtId="1" fontId="15" fillId="0" borderId="0" xfId="0" applyNumberFormat="1" applyFont="1" applyAlignment="1">
      <alignment horizontal="center"/>
    </xf>
    <xf numFmtId="164" fontId="12" fillId="0" borderId="19" xfId="0" applyNumberFormat="1" applyFont="1" applyBorder="1" applyAlignment="1">
      <alignment horizontal="center"/>
    </xf>
    <xf numFmtId="164" fontId="12" fillId="0" borderId="24" xfId="0" applyNumberFormat="1" applyFont="1" applyBorder="1" applyAlignment="1">
      <alignment horizontal="center"/>
    </xf>
    <xf numFmtId="182" fontId="13" fillId="0" borderId="64" xfId="0" applyNumberFormat="1" applyFont="1" applyBorder="1" applyAlignment="1">
      <alignment horizontal="center"/>
    </xf>
    <xf numFmtId="182" fontId="13" fillId="0" borderId="24" xfId="0" applyNumberFormat="1" applyFont="1" applyBorder="1" applyAlignment="1">
      <alignment horizontal="center"/>
    </xf>
    <xf numFmtId="164" fontId="13" fillId="0" borderId="97" xfId="0" applyNumberFormat="1" applyFont="1" applyBorder="1" applyAlignment="1">
      <alignment horizontal="center"/>
    </xf>
    <xf numFmtId="164" fontId="13" fillId="0" borderId="30" xfId="0" applyNumberFormat="1" applyFont="1" applyBorder="1" applyAlignment="1">
      <alignment horizontal="center"/>
    </xf>
    <xf numFmtId="164" fontId="12" fillId="0" borderId="33" xfId="0" applyNumberFormat="1" applyFont="1" applyBorder="1" applyAlignment="1">
      <alignment horizontal="center"/>
    </xf>
    <xf numFmtId="182" fontId="13" fillId="0" borderId="33" xfId="0" applyNumberFormat="1" applyFont="1" applyBorder="1" applyAlignment="1">
      <alignment horizontal="center"/>
    </xf>
    <xf numFmtId="164" fontId="13" fillId="0" borderId="34" xfId="0" applyNumberFormat="1" applyFont="1" applyBorder="1" applyAlignment="1">
      <alignment horizontal="center"/>
    </xf>
    <xf numFmtId="0" fontId="13" fillId="0" borderId="113" xfId="0" applyFont="1" applyBorder="1" applyAlignment="1">
      <alignment horizontal="center"/>
    </xf>
    <xf numFmtId="0" fontId="0" fillId="0" borderId="0" xfId="0" applyFill="1" applyBorder="1" applyAlignment="1">
      <alignment horizontal="left"/>
    </xf>
    <xf numFmtId="0" fontId="13" fillId="0" borderId="35" xfId="0" applyFont="1" applyBorder="1" applyAlignment="1">
      <alignment horizontal="center"/>
    </xf>
    <xf numFmtId="0" fontId="13" fillId="0" borderId="2" xfId="0" applyFont="1" applyBorder="1"/>
    <xf numFmtId="0" fontId="13" fillId="0" borderId="18" xfId="0" applyFont="1" applyBorder="1" applyAlignment="1">
      <alignment horizontal="center"/>
    </xf>
    <xf numFmtId="2" fontId="0" fillId="0" borderId="62" xfId="0" applyNumberFormat="1" applyBorder="1" applyAlignment="1">
      <alignment horizontal="center"/>
    </xf>
    <xf numFmtId="2" fontId="0" fillId="0" borderId="25" xfId="0" applyNumberFormat="1" applyBorder="1" applyAlignment="1">
      <alignment horizontal="center"/>
    </xf>
    <xf numFmtId="4" fontId="24" fillId="0" borderId="8" xfId="0" applyNumberFormat="1" applyFont="1" applyBorder="1" applyAlignment="1">
      <alignment horizontal="center"/>
    </xf>
    <xf numFmtId="164" fontId="24" fillId="0" borderId="8" xfId="0" applyNumberFormat="1" applyFont="1" applyBorder="1" applyAlignment="1">
      <alignment horizontal="center"/>
    </xf>
    <xf numFmtId="2" fontId="24" fillId="0" borderId="9" xfId="0" applyNumberFormat="1" applyFont="1" applyBorder="1" applyAlignment="1">
      <alignment horizontal="center"/>
    </xf>
    <xf numFmtId="164" fontId="24" fillId="0" borderId="11" xfId="0" applyNumberFormat="1" applyFont="1" applyBorder="1" applyAlignment="1">
      <alignment horizontal="center"/>
    </xf>
    <xf numFmtId="2" fontId="24" fillId="0" borderId="12" xfId="0" applyNumberFormat="1" applyFont="1" applyBorder="1" applyAlignment="1">
      <alignment horizontal="center"/>
    </xf>
    <xf numFmtId="164" fontId="24" fillId="0" borderId="117" xfId="0" applyNumberFormat="1" applyFont="1" applyBorder="1" applyAlignment="1">
      <alignment horizontal="center"/>
    </xf>
    <xf numFmtId="2" fontId="24" fillId="0" borderId="118" xfId="0" applyNumberFormat="1" applyFont="1" applyBorder="1" applyAlignment="1">
      <alignment horizontal="center"/>
    </xf>
    <xf numFmtId="164" fontId="24" fillId="0" borderId="14" xfId="0" applyNumberFormat="1" applyFont="1" applyBorder="1" applyAlignment="1">
      <alignment horizontal="center"/>
    </xf>
    <xf numFmtId="4" fontId="24" fillId="0" borderId="11" xfId="0" applyNumberFormat="1" applyFont="1" applyBorder="1" applyAlignment="1">
      <alignment horizontal="center"/>
    </xf>
    <xf numFmtId="4" fontId="24" fillId="0" borderId="117" xfId="0" applyNumberFormat="1" applyFont="1" applyBorder="1" applyAlignment="1">
      <alignment horizontal="center"/>
    </xf>
    <xf numFmtId="4" fontId="24" fillId="0" borderId="14" xfId="0" applyNumberFormat="1" applyFont="1" applyBorder="1" applyAlignment="1">
      <alignment horizontal="center"/>
    </xf>
    <xf numFmtId="2" fontId="24" fillId="0" borderId="15" xfId="0" applyNumberFormat="1" applyFont="1" applyBorder="1" applyAlignment="1">
      <alignment horizontal="center"/>
    </xf>
    <xf numFmtId="164" fontId="0" fillId="0" borderId="0" xfId="0" applyNumberFormat="1" applyBorder="1"/>
    <xf numFmtId="2" fontId="0" fillId="0" borderId="0" xfId="0" applyNumberFormat="1" applyBorder="1"/>
    <xf numFmtId="11" fontId="0" fillId="0" borderId="0" xfId="0" applyNumberFormat="1" applyBorder="1"/>
    <xf numFmtId="164" fontId="0" fillId="0" borderId="64" xfId="0" applyNumberFormat="1" applyBorder="1" applyAlignment="1">
      <alignment horizontal="center"/>
    </xf>
    <xf numFmtId="164" fontId="0" fillId="0" borderId="97" xfId="0" applyNumberFormat="1" applyBorder="1" applyAlignment="1">
      <alignment horizontal="center"/>
    </xf>
    <xf numFmtId="2" fontId="0" fillId="0" borderId="9" xfId="0" applyNumberFormat="1" applyBorder="1" applyAlignment="1">
      <alignment horizontal="center"/>
    </xf>
    <xf numFmtId="164" fontId="0" fillId="0" borderId="22" xfId="0" applyNumberFormat="1" applyBorder="1" applyAlignment="1">
      <alignment horizontal="center"/>
    </xf>
    <xf numFmtId="2" fontId="0" fillId="0" borderId="23" xfId="0" applyNumberFormat="1" applyBorder="1" applyAlignment="1">
      <alignment horizontal="center"/>
    </xf>
    <xf numFmtId="164" fontId="0" fillId="0" borderId="28" xfId="0" applyNumberFormat="1" applyBorder="1" applyAlignment="1">
      <alignment horizontal="center"/>
    </xf>
    <xf numFmtId="2" fontId="0" fillId="0" borderId="12" xfId="0" applyNumberFormat="1" applyBorder="1" applyAlignment="1">
      <alignment horizontal="center"/>
    </xf>
    <xf numFmtId="164" fontId="0" fillId="0" borderId="24" xfId="0" applyNumberFormat="1" applyBorder="1" applyAlignment="1">
      <alignment horizontal="center"/>
    </xf>
    <xf numFmtId="164" fontId="0" fillId="0" borderId="30" xfId="0" applyNumberFormat="1" applyBorder="1" applyAlignment="1">
      <alignment horizontal="center"/>
    </xf>
    <xf numFmtId="2" fontId="0" fillId="0" borderId="15" xfId="0" applyNumberFormat="1" applyBorder="1" applyAlignment="1">
      <alignment horizontal="center"/>
    </xf>
    <xf numFmtId="173" fontId="24" fillId="0" borderId="64" xfId="0" applyNumberFormat="1" applyFont="1" applyBorder="1" applyAlignment="1">
      <alignment horizontal="center"/>
    </xf>
    <xf numFmtId="2" fontId="24" fillId="0" borderId="76" xfId="0" applyNumberFormat="1" applyFont="1" applyBorder="1" applyAlignment="1">
      <alignment horizontal="center"/>
    </xf>
    <xf numFmtId="2" fontId="24" fillId="0" borderId="62" xfId="0" applyNumberFormat="1" applyFont="1" applyBorder="1" applyAlignment="1">
      <alignment horizontal="center"/>
    </xf>
    <xf numFmtId="173" fontId="24" fillId="0" borderId="97" xfId="0" applyNumberFormat="1" applyFont="1" applyBorder="1" applyAlignment="1">
      <alignment horizontal="center"/>
    </xf>
    <xf numFmtId="0" fontId="24" fillId="0" borderId="64" xfId="0" applyFont="1" applyBorder="1" applyAlignment="1">
      <alignment horizontal="center"/>
    </xf>
    <xf numFmtId="0" fontId="13" fillId="0" borderId="119" xfId="0" applyFont="1" applyBorder="1" applyAlignment="1">
      <alignment horizontal="center"/>
    </xf>
    <xf numFmtId="182" fontId="13" fillId="0" borderId="91" xfId="0" applyNumberFormat="1" applyFont="1" applyBorder="1" applyAlignment="1">
      <alignment horizontal="center"/>
    </xf>
    <xf numFmtId="164" fontId="13" fillId="0" borderId="92" xfId="0" applyNumberFormat="1" applyFont="1" applyBorder="1" applyAlignment="1">
      <alignment horizontal="center"/>
    </xf>
    <xf numFmtId="2" fontId="13" fillId="0" borderId="100" xfId="0" applyNumberFormat="1" applyFont="1" applyBorder="1" applyAlignment="1">
      <alignment horizontal="center"/>
    </xf>
    <xf numFmtId="2" fontId="13" fillId="0" borderId="93" xfId="0" applyNumberFormat="1" applyFont="1" applyBorder="1" applyAlignment="1">
      <alignment horizontal="center"/>
    </xf>
    <xf numFmtId="0" fontId="13" fillId="0" borderId="115" xfId="0" applyFont="1" applyBorder="1" applyAlignment="1">
      <alignment horizontal="center"/>
    </xf>
    <xf numFmtId="173" fontId="24" fillId="0" borderId="24" xfId="0" applyNumberFormat="1" applyFont="1" applyBorder="1" applyAlignment="1">
      <alignment horizontal="center"/>
    </xf>
    <xf numFmtId="2" fontId="24" fillId="0" borderId="31" xfId="0" applyNumberFormat="1" applyFont="1" applyBorder="1" applyAlignment="1">
      <alignment horizontal="center"/>
    </xf>
    <xf numFmtId="2" fontId="24" fillId="0" borderId="25" xfId="0" applyNumberFormat="1" applyFont="1" applyBorder="1" applyAlignment="1">
      <alignment horizontal="center"/>
    </xf>
    <xf numFmtId="173" fontId="24" fillId="0" borderId="30" xfId="0" applyNumberFormat="1" applyFont="1" applyBorder="1" applyAlignment="1">
      <alignment horizontal="center"/>
    </xf>
    <xf numFmtId="0" fontId="24" fillId="0" borderId="24" xfId="0" applyFont="1" applyBorder="1" applyAlignment="1">
      <alignment horizontal="center"/>
    </xf>
    <xf numFmtId="182" fontId="24" fillId="0" borderId="91" xfId="0" applyNumberFormat="1" applyFont="1" applyBorder="1" applyAlignment="1">
      <alignment horizontal="center"/>
    </xf>
    <xf numFmtId="164" fontId="24" fillId="0" borderId="92" xfId="0" applyNumberFormat="1" applyFont="1" applyBorder="1" applyAlignment="1">
      <alignment horizontal="center"/>
    </xf>
    <xf numFmtId="2" fontId="24" fillId="0" borderId="120" xfId="0" applyNumberFormat="1" applyFont="1" applyBorder="1" applyAlignment="1">
      <alignment horizontal="center"/>
    </xf>
    <xf numFmtId="2" fontId="24" fillId="0" borderId="100" xfId="0" applyNumberFormat="1" applyFont="1" applyBorder="1" applyAlignment="1">
      <alignment horizontal="center"/>
    </xf>
    <xf numFmtId="182" fontId="24" fillId="0" borderId="121" xfId="0" applyNumberFormat="1" applyFont="1" applyBorder="1" applyAlignment="1">
      <alignment horizontal="center"/>
    </xf>
    <xf numFmtId="164" fontId="24" fillId="0" borderId="122" xfId="0" applyNumberFormat="1" applyFont="1" applyBorder="1" applyAlignment="1">
      <alignment horizontal="center"/>
    </xf>
    <xf numFmtId="2" fontId="24" fillId="0" borderId="123" xfId="0" applyNumberFormat="1" applyFont="1" applyBorder="1" applyAlignment="1">
      <alignment horizontal="center"/>
    </xf>
    <xf numFmtId="164" fontId="24" fillId="0" borderId="20" xfId="0" applyNumberFormat="1" applyFont="1" applyBorder="1" applyAlignment="1">
      <alignment horizontal="center"/>
    </xf>
    <xf numFmtId="2" fontId="24" fillId="0" borderId="27" xfId="0" applyNumberFormat="1" applyFont="1" applyBorder="1" applyAlignment="1">
      <alignment horizontal="center"/>
    </xf>
    <xf numFmtId="2" fontId="24" fillId="0" borderId="124" xfId="0" applyNumberFormat="1" applyFont="1" applyBorder="1" applyAlignment="1">
      <alignment horizontal="center"/>
    </xf>
    <xf numFmtId="182" fontId="12" fillId="0" borderId="19" xfId="0" applyNumberFormat="1" applyFont="1" applyBorder="1" applyAlignment="1">
      <alignment horizontal="center"/>
    </xf>
    <xf numFmtId="182" fontId="13" fillId="0" borderId="97" xfId="0" applyNumberFormat="1" applyFont="1" applyBorder="1" applyAlignment="1">
      <alignment horizontal="center"/>
    </xf>
    <xf numFmtId="182" fontId="13" fillId="0" borderId="34" xfId="0" applyNumberFormat="1" applyFont="1" applyBorder="1" applyAlignment="1">
      <alignment horizontal="center"/>
    </xf>
    <xf numFmtId="182" fontId="13" fillId="0" borderId="30" xfId="0" applyNumberFormat="1" applyFont="1" applyBorder="1" applyAlignment="1">
      <alignment horizontal="center"/>
    </xf>
    <xf numFmtId="182" fontId="12" fillId="0" borderId="33" xfId="0" applyNumberFormat="1" applyFont="1" applyBorder="1" applyAlignment="1">
      <alignment horizontal="center"/>
    </xf>
    <xf numFmtId="182" fontId="12" fillId="0" borderId="24" xfId="0" applyNumberFormat="1" applyFont="1" applyBorder="1" applyAlignment="1">
      <alignment horizontal="center"/>
    </xf>
    <xf numFmtId="173" fontId="13" fillId="0" borderId="64" xfId="0" applyNumberFormat="1" applyFont="1" applyBorder="1" applyAlignment="1">
      <alignment horizontal="center"/>
    </xf>
    <xf numFmtId="173" fontId="13" fillId="0" borderId="33" xfId="0" applyNumberFormat="1" applyFont="1" applyBorder="1" applyAlignment="1">
      <alignment horizontal="center"/>
    </xf>
    <xf numFmtId="173" fontId="13" fillId="0" borderId="24" xfId="0" applyNumberFormat="1" applyFont="1" applyBorder="1" applyAlignment="1">
      <alignment horizontal="center"/>
    </xf>
    <xf numFmtId="2" fontId="12" fillId="0" borderId="62" xfId="0" applyNumberFormat="1" applyFont="1" applyBorder="1" applyAlignment="1">
      <alignment horizontal="center"/>
    </xf>
    <xf numFmtId="2" fontId="12" fillId="0" borderId="123" xfId="0" applyNumberFormat="1" applyFont="1" applyBorder="1" applyAlignment="1">
      <alignment horizontal="center"/>
    </xf>
    <xf numFmtId="2" fontId="12" fillId="0" borderId="25" xfId="0" applyNumberFormat="1" applyFont="1" applyBorder="1" applyAlignment="1">
      <alignment horizontal="center"/>
    </xf>
    <xf numFmtId="164" fontId="28" fillId="0" borderId="8" xfId="0" applyNumberFormat="1" applyFont="1" applyBorder="1" applyAlignment="1">
      <alignment horizontal="center"/>
    </xf>
    <xf numFmtId="164" fontId="28" fillId="0" borderId="122" xfId="0" applyNumberFormat="1" applyFont="1" applyBorder="1" applyAlignment="1">
      <alignment horizontal="center"/>
    </xf>
    <xf numFmtId="164" fontId="28" fillId="0" borderId="14" xfId="0" applyNumberFormat="1" applyFont="1" applyBorder="1" applyAlignment="1">
      <alignment horizontal="center"/>
    </xf>
    <xf numFmtId="2" fontId="28" fillId="0" borderId="9" xfId="0" applyNumberFormat="1" applyFont="1" applyBorder="1" applyAlignment="1">
      <alignment horizontal="center"/>
    </xf>
    <xf numFmtId="2" fontId="28" fillId="0" borderId="125" xfId="0" applyNumberFormat="1" applyFont="1" applyBorder="1" applyAlignment="1">
      <alignment horizontal="center"/>
    </xf>
    <xf numFmtId="2" fontId="28" fillId="0" borderId="15" xfId="0" applyNumberFormat="1" applyFont="1" applyBorder="1" applyAlignment="1">
      <alignment horizontal="center"/>
    </xf>
    <xf numFmtId="2" fontId="28" fillId="0" borderId="62" xfId="0" applyNumberFormat="1" applyFont="1" applyBorder="1" applyAlignment="1">
      <alignment horizontal="center"/>
    </xf>
    <xf numFmtId="2" fontId="28" fillId="0" borderId="123" xfId="0" applyNumberFormat="1" applyFont="1" applyBorder="1" applyAlignment="1">
      <alignment horizontal="center"/>
    </xf>
    <xf numFmtId="2" fontId="28" fillId="0" borderId="25" xfId="0" applyNumberFormat="1" applyFont="1" applyBorder="1" applyAlignment="1">
      <alignment horizontal="center"/>
    </xf>
    <xf numFmtId="14" fontId="0" fillId="0" borderId="103" xfId="0" applyNumberFormat="1" applyBorder="1" applyAlignment="1">
      <alignment horizontal="center"/>
    </xf>
    <xf numFmtId="14" fontId="0" fillId="0" borderId="103" xfId="0" applyNumberFormat="1" applyBorder="1"/>
    <xf numFmtId="0" fontId="0" fillId="0" borderId="78" xfId="0" applyBorder="1" applyAlignment="1">
      <alignment wrapText="1"/>
    </xf>
    <xf numFmtId="0" fontId="0" fillId="0" borderId="68" xfId="0" applyBorder="1" applyAlignment="1">
      <alignment horizontal="center" vertical="center"/>
    </xf>
    <xf numFmtId="0" fontId="0" fillId="0" borderId="0" xfId="0" applyAlignment="1">
      <alignment horizontal="left" vertical="top" wrapText="1"/>
    </xf>
    <xf numFmtId="0" fontId="0" fillId="0" borderId="0" xfId="0" applyNumberFormat="1" applyAlignment="1">
      <alignment horizontal="left" vertical="top" wrapText="1"/>
    </xf>
    <xf numFmtId="0" fontId="21" fillId="0" borderId="0" xfId="0" applyFont="1" applyAlignment="1">
      <alignment horizontal="center"/>
    </xf>
    <xf numFmtId="14" fontId="0" fillId="0" borderId="0" xfId="0" applyNumberFormat="1" applyAlignment="1">
      <alignment horizontal="center"/>
    </xf>
    <xf numFmtId="0" fontId="23" fillId="0" borderId="0" xfId="0" applyFont="1" applyAlignment="1">
      <alignment horizontal="left" vertical="top" wrapText="1"/>
    </xf>
    <xf numFmtId="0" fontId="0" fillId="0" borderId="126" xfId="0"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0" fillId="0" borderId="58" xfId="0" applyBorder="1" applyAlignment="1">
      <alignment horizontal="center"/>
    </xf>
    <xf numFmtId="0" fontId="0" fillId="0" borderId="129" xfId="0" applyBorder="1" applyAlignment="1">
      <alignment horizontal="center"/>
    </xf>
    <xf numFmtId="14" fontId="23" fillId="0" borderId="0" xfId="0" applyNumberFormat="1" applyFont="1" applyAlignment="1">
      <alignment horizontal="left" vertical="top" wrapText="1"/>
    </xf>
    <xf numFmtId="0" fontId="0" fillId="0" borderId="136" xfId="0" applyBorder="1" applyAlignment="1">
      <alignment horizontal="center"/>
    </xf>
    <xf numFmtId="0" fontId="0" fillId="0" borderId="36" xfId="0" applyBorder="1" applyAlignment="1">
      <alignment horizontal="center"/>
    </xf>
    <xf numFmtId="0" fontId="0" fillId="0" borderId="137" xfId="0" applyBorder="1" applyAlignment="1">
      <alignment horizontal="center"/>
    </xf>
    <xf numFmtId="0" fontId="0" fillId="0" borderId="140" xfId="0" applyBorder="1" applyAlignment="1">
      <alignment horizontal="center"/>
    </xf>
    <xf numFmtId="0" fontId="0" fillId="0" borderId="134" xfId="0" applyBorder="1" applyAlignment="1">
      <alignment horizontal="center"/>
    </xf>
    <xf numFmtId="0" fontId="0" fillId="0" borderId="135" xfId="0" applyBorder="1" applyAlignment="1">
      <alignment horizontal="center"/>
    </xf>
    <xf numFmtId="0" fontId="0" fillId="0" borderId="113" xfId="0" applyBorder="1" applyAlignment="1">
      <alignment horizontal="center"/>
    </xf>
    <xf numFmtId="0" fontId="0" fillId="0" borderId="66" xfId="0" applyBorder="1" applyAlignment="1">
      <alignment horizontal="center"/>
    </xf>
    <xf numFmtId="0" fontId="0" fillId="0" borderId="142" xfId="0" applyBorder="1" applyAlignment="1">
      <alignment horizontal="center"/>
    </xf>
    <xf numFmtId="0" fontId="0" fillId="0" borderId="59" xfId="0" applyBorder="1" applyAlignment="1">
      <alignment horizontal="center"/>
    </xf>
    <xf numFmtId="0" fontId="0" fillId="0" borderId="143" xfId="0" applyBorder="1" applyAlignment="1">
      <alignment horizontal="center"/>
    </xf>
    <xf numFmtId="0" fontId="0" fillId="0" borderId="33" xfId="0" applyBorder="1" applyAlignment="1">
      <alignment horizontal="center"/>
    </xf>
    <xf numFmtId="0" fontId="0" fillId="0" borderId="144" xfId="0" applyBorder="1" applyAlignment="1">
      <alignment horizontal="center"/>
    </xf>
    <xf numFmtId="0" fontId="0" fillId="0" borderId="145" xfId="0" applyBorder="1" applyAlignment="1">
      <alignment horizontal="center"/>
    </xf>
    <xf numFmtId="0" fontId="0" fillId="0" borderId="122"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0" fillId="0" borderId="123" xfId="0" applyBorder="1" applyAlignment="1">
      <alignment horizontal="center"/>
    </xf>
    <xf numFmtId="0" fontId="0" fillId="0" borderId="148" xfId="0" applyBorder="1" applyAlignment="1">
      <alignment horizontal="center"/>
    </xf>
    <xf numFmtId="0" fontId="0" fillId="0" borderId="3" xfId="0" applyBorder="1" applyAlignment="1">
      <alignment horizontal="center"/>
    </xf>
    <xf numFmtId="0" fontId="0" fillId="0" borderId="53" xfId="0" applyBorder="1" applyAlignment="1">
      <alignment horizontal="center"/>
    </xf>
    <xf numFmtId="0" fontId="0" fillId="0" borderId="130"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0" fillId="0" borderId="133" xfId="0" applyBorder="1" applyAlignment="1">
      <alignment horizontal="center"/>
    </xf>
    <xf numFmtId="0" fontId="0" fillId="0" borderId="138" xfId="0" applyBorder="1" applyAlignment="1">
      <alignment horizontal="center"/>
    </xf>
    <xf numFmtId="0" fontId="0" fillId="0" borderId="77" xfId="0" applyBorder="1" applyAlignment="1">
      <alignment horizontal="center"/>
    </xf>
    <xf numFmtId="0" fontId="0" fillId="0" borderId="139" xfId="0" applyBorder="1" applyAlignment="1">
      <alignment horizontal="center"/>
    </xf>
    <xf numFmtId="0" fontId="0" fillId="0" borderId="78" xfId="0" applyBorder="1" applyAlignment="1">
      <alignment horizontal="center"/>
    </xf>
    <xf numFmtId="0" fontId="0" fillId="0" borderId="141" xfId="0" applyBorder="1" applyAlignment="1">
      <alignment horizontal="center"/>
    </xf>
    <xf numFmtId="0" fontId="0" fillId="0" borderId="1" xfId="0" applyBorder="1" applyAlignment="1">
      <alignment horizontal="center"/>
    </xf>
    <xf numFmtId="0" fontId="0" fillId="0" borderId="55" xfId="0" applyBorder="1" applyAlignment="1">
      <alignment horizontal="center"/>
    </xf>
    <xf numFmtId="0" fontId="0" fillId="0" borderId="149" xfId="0" applyBorder="1" applyAlignment="1">
      <alignment horizontal="center"/>
    </xf>
    <xf numFmtId="0" fontId="0" fillId="0" borderId="40" xfId="0" applyBorder="1" applyAlignment="1">
      <alignment horizontal="center"/>
    </xf>
    <xf numFmtId="0" fontId="0" fillId="0" borderId="74" xfId="0" applyBorder="1" applyAlignment="1">
      <alignment horizontal="center"/>
    </xf>
    <xf numFmtId="0" fontId="0" fillId="0" borderId="67" xfId="0" applyBorder="1" applyAlignment="1">
      <alignment horizontal="center"/>
    </xf>
    <xf numFmtId="0" fontId="0" fillId="0" borderId="136" xfId="0" applyBorder="1" applyAlignment="1">
      <alignment horizontal="center" vertical="center"/>
    </xf>
    <xf numFmtId="0" fontId="0" fillId="0" borderId="66" xfId="0" applyBorder="1" applyAlignment="1">
      <alignment horizontal="center" vertical="center"/>
    </xf>
    <xf numFmtId="0" fontId="0" fillId="0" borderId="150" xfId="0" applyBorder="1" applyAlignment="1">
      <alignment horizontal="center"/>
    </xf>
    <xf numFmtId="0" fontId="13" fillId="0" borderId="0" xfId="0" applyFont="1" applyFill="1" applyBorder="1" applyAlignment="1">
      <alignment horizontal="left" vertical="top" wrapText="1"/>
    </xf>
    <xf numFmtId="0" fontId="0" fillId="0" borderId="107" xfId="0" applyBorder="1" applyAlignment="1">
      <alignment horizontal="center"/>
    </xf>
    <xf numFmtId="0" fontId="0" fillId="0" borderId="157" xfId="0" applyBorder="1" applyAlignment="1">
      <alignment horizontal="center"/>
    </xf>
    <xf numFmtId="0" fontId="0" fillId="0" borderId="156" xfId="0" applyBorder="1" applyAlignment="1">
      <alignment horizontal="center"/>
    </xf>
    <xf numFmtId="0" fontId="0" fillId="0" borderId="152" xfId="0" applyBorder="1" applyAlignment="1">
      <alignment horizontal="center"/>
    </xf>
    <xf numFmtId="0" fontId="0" fillId="0" borderId="158" xfId="0" applyBorder="1" applyAlignment="1">
      <alignment horizontal="center"/>
    </xf>
    <xf numFmtId="0" fontId="0" fillId="0" borderId="159" xfId="0" applyBorder="1" applyAlignment="1">
      <alignment horizontal="center"/>
    </xf>
    <xf numFmtId="0" fontId="0" fillId="0" borderId="153" xfId="0" applyBorder="1" applyAlignment="1">
      <alignment horizontal="center"/>
    </xf>
    <xf numFmtId="0" fontId="0" fillId="0" borderId="154" xfId="0" applyBorder="1" applyAlignment="1">
      <alignment horizontal="center"/>
    </xf>
    <xf numFmtId="0" fontId="0" fillId="0" borderId="155" xfId="0" applyBorder="1" applyAlignment="1">
      <alignment horizontal="center"/>
    </xf>
    <xf numFmtId="0" fontId="0" fillId="0" borderId="151" xfId="0" applyBorder="1" applyAlignment="1">
      <alignment horizontal="center"/>
    </xf>
    <xf numFmtId="0" fontId="0" fillId="0" borderId="0" xfId="0" applyBorder="1" applyAlignment="1">
      <alignment horizontal="center"/>
    </xf>
    <xf numFmtId="0" fontId="0" fillId="0" borderId="162" xfId="0" applyBorder="1" applyAlignment="1">
      <alignment horizontal="center"/>
    </xf>
    <xf numFmtId="0" fontId="0" fillId="0" borderId="68" xfId="0" applyBorder="1" applyAlignment="1">
      <alignment horizontal="center"/>
    </xf>
    <xf numFmtId="0" fontId="0" fillId="0" borderId="163" xfId="0" applyBorder="1" applyAlignment="1">
      <alignment horizontal="center"/>
    </xf>
    <xf numFmtId="0" fontId="17" fillId="0" borderId="106" xfId="0" applyFont="1" applyBorder="1" applyAlignment="1">
      <alignment horizontal="center"/>
    </xf>
    <xf numFmtId="0" fontId="0" fillId="0" borderId="160" xfId="0" applyBorder="1" applyAlignment="1">
      <alignment horizontal="center"/>
    </xf>
    <xf numFmtId="0" fontId="0" fillId="0" borderId="161" xfId="0" applyBorder="1" applyAlignment="1">
      <alignment horizontal="center"/>
    </xf>
    <xf numFmtId="0" fontId="19" fillId="0" borderId="164" xfId="0" applyFont="1" applyBorder="1" applyAlignment="1">
      <alignment horizontal="center" wrapText="1"/>
    </xf>
    <xf numFmtId="0" fontId="19" fillId="0" borderId="165" xfId="0" applyFont="1" applyBorder="1" applyAlignment="1">
      <alignment horizontal="center" wrapText="1"/>
    </xf>
    <xf numFmtId="0" fontId="19" fillId="0" borderId="166" xfId="0" applyFont="1" applyBorder="1" applyAlignment="1">
      <alignment horizontal="center" wrapText="1"/>
    </xf>
    <xf numFmtId="0" fontId="0" fillId="0" borderId="170" xfId="0" applyBorder="1" applyAlignment="1">
      <alignment horizontal="center"/>
    </xf>
    <xf numFmtId="0" fontId="0" fillId="0" borderId="167" xfId="0" applyBorder="1" applyAlignment="1">
      <alignment horizontal="center"/>
    </xf>
    <xf numFmtId="0" fontId="0" fillId="0" borderId="168" xfId="0" applyBorder="1" applyAlignment="1">
      <alignment horizontal="center"/>
    </xf>
    <xf numFmtId="0" fontId="0" fillId="0" borderId="169" xfId="0" applyBorder="1" applyAlignment="1">
      <alignment horizontal="center"/>
    </xf>
    <xf numFmtId="14" fontId="0" fillId="0" borderId="171" xfId="0" applyNumberFormat="1" applyBorder="1" applyAlignment="1">
      <alignment horizontal="center" vertical="top"/>
    </xf>
    <xf numFmtId="14" fontId="0" fillId="0" borderId="172" xfId="0" applyNumberFormat="1" applyBorder="1" applyAlignment="1">
      <alignment horizontal="center" vertical="top"/>
    </xf>
    <xf numFmtId="14" fontId="0" fillId="0" borderId="173" xfId="0" applyNumberFormat="1" applyBorder="1" applyAlignment="1">
      <alignment horizontal="center" vertical="top"/>
    </xf>
    <xf numFmtId="0" fontId="13" fillId="0" borderId="174" xfId="0" applyFont="1" applyBorder="1" applyAlignment="1">
      <alignment horizontal="left" vertical="top"/>
    </xf>
    <xf numFmtId="0" fontId="13" fillId="0" borderId="175" xfId="0" applyFont="1" applyBorder="1" applyAlignment="1">
      <alignment horizontal="left" vertical="top"/>
    </xf>
    <xf numFmtId="0" fontId="13" fillId="0" borderId="70" xfId="0" applyFont="1" applyBorder="1" applyAlignment="1">
      <alignment horizontal="left" vertical="top"/>
    </xf>
    <xf numFmtId="0" fontId="0" fillId="0" borderId="176" xfId="0" applyBorder="1" applyAlignment="1">
      <alignment horizontal="left" vertical="top" wrapText="1"/>
    </xf>
    <xf numFmtId="0" fontId="0" fillId="0" borderId="112" xfId="0" applyBorder="1" applyAlignment="1">
      <alignment horizontal="left" vertical="top" wrapText="1"/>
    </xf>
    <xf numFmtId="0" fontId="0" fillId="0" borderId="88" xfId="0" applyBorder="1" applyAlignment="1">
      <alignment horizontal="left" vertical="top"/>
    </xf>
    <xf numFmtId="0" fontId="0" fillId="0" borderId="70" xfId="0" applyBorder="1" applyAlignment="1">
      <alignment horizontal="left" vertical="top"/>
    </xf>
    <xf numFmtId="14" fontId="0" fillId="0" borderId="177" xfId="0" applyNumberFormat="1" applyBorder="1" applyAlignment="1">
      <alignment vertical="top"/>
    </xf>
    <xf numFmtId="14" fontId="0" fillId="0" borderId="173" xfId="0" applyNumberFormat="1"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Lines="2" dropStyle="combo" dx="22" fmlaLink="$B$79" fmlaRange="$B$77:$B$78"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247650</xdr:colOff>
          <xdr:row>14</xdr:row>
          <xdr:rowOff>209550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94A5787E-8BA2-8628-106C-3184305855F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8151-B38E-4B00-AFA6-8922D77406F1}">
  <sheetPr codeName="Sheet1">
    <tabColor indexed="10"/>
  </sheetPr>
  <dimension ref="A1:M80"/>
  <sheetViews>
    <sheetView tabSelected="1" zoomScaleNormal="100" workbookViewId="0">
      <selection activeCell="H39" sqref="H39"/>
    </sheetView>
  </sheetViews>
  <sheetFormatPr defaultRowHeight="12.75" x14ac:dyDescent="0.2"/>
  <cols>
    <col min="2" max="2" width="13.85546875" customWidth="1"/>
    <col min="3" max="3" width="30.140625" customWidth="1"/>
    <col min="4" max="4" width="12.140625" bestFit="1" customWidth="1"/>
    <col min="5" max="5" width="12.140625" customWidth="1"/>
    <col min="6" max="6" width="12.140625" bestFit="1" customWidth="1"/>
  </cols>
  <sheetData>
    <row r="1" spans="1:13" ht="20.25" x14ac:dyDescent="0.3">
      <c r="A1" s="598" t="s">
        <v>509</v>
      </c>
      <c r="B1" s="598"/>
      <c r="C1" s="598"/>
      <c r="D1" s="598"/>
      <c r="E1" s="598"/>
      <c r="F1" s="598"/>
      <c r="G1" s="598"/>
      <c r="H1" s="598"/>
      <c r="I1" s="598"/>
      <c r="J1" s="598"/>
      <c r="K1" s="598"/>
      <c r="L1" s="598"/>
    </row>
    <row r="2" spans="1:13" x14ac:dyDescent="0.2">
      <c r="A2" s="599">
        <v>40876</v>
      </c>
      <c r="B2" s="599"/>
      <c r="C2" s="599"/>
      <c r="D2" s="599"/>
      <c r="E2" s="599"/>
      <c r="F2" s="599"/>
      <c r="G2" s="599"/>
      <c r="H2" s="599"/>
      <c r="I2" s="599"/>
      <c r="J2" s="599"/>
      <c r="K2" s="599"/>
      <c r="L2" s="599"/>
    </row>
    <row r="3" spans="1:13" ht="37.5" customHeight="1" x14ac:dyDescent="0.2">
      <c r="A3" s="600" t="s">
        <v>522</v>
      </c>
      <c r="B3" s="600"/>
      <c r="C3" s="600"/>
      <c r="D3" s="600"/>
      <c r="E3" s="600"/>
      <c r="F3" s="600"/>
      <c r="G3" s="600"/>
      <c r="H3" s="600"/>
      <c r="I3" s="600"/>
      <c r="J3" s="600"/>
      <c r="K3" s="600"/>
      <c r="L3" s="600"/>
    </row>
    <row r="5" spans="1:13" x14ac:dyDescent="0.2">
      <c r="B5" s="7" t="s">
        <v>439</v>
      </c>
      <c r="C5" s="596" t="s">
        <v>440</v>
      </c>
      <c r="D5" s="596"/>
      <c r="E5" s="596"/>
      <c r="F5" s="596"/>
      <c r="G5" s="596"/>
      <c r="H5" s="596"/>
      <c r="I5" s="596"/>
      <c r="J5" s="596"/>
      <c r="K5" s="596"/>
      <c r="L5" s="596"/>
    </row>
    <row r="6" spans="1:13" x14ac:dyDescent="0.2">
      <c r="C6" s="596"/>
      <c r="D6" s="596"/>
      <c r="E6" s="596"/>
      <c r="F6" s="596"/>
      <c r="G6" s="596"/>
      <c r="H6" s="596"/>
      <c r="I6" s="596"/>
      <c r="J6" s="596"/>
      <c r="K6" s="596"/>
      <c r="L6" s="596"/>
    </row>
    <row r="8" spans="1:13" ht="12.75" customHeight="1" x14ac:dyDescent="0.2">
      <c r="C8" s="597" t="s">
        <v>441</v>
      </c>
      <c r="D8" s="597"/>
      <c r="E8" s="597"/>
      <c r="F8" s="597"/>
      <c r="G8" s="597"/>
      <c r="H8" s="597"/>
      <c r="I8" s="597"/>
      <c r="J8" s="597"/>
      <c r="K8" s="597"/>
      <c r="L8" s="597"/>
    </row>
    <row r="9" spans="1:13" x14ac:dyDescent="0.2">
      <c r="C9" s="597"/>
      <c r="D9" s="597"/>
      <c r="E9" s="597"/>
      <c r="F9" s="597"/>
      <c r="G9" s="597"/>
      <c r="H9" s="597"/>
      <c r="I9" s="597"/>
      <c r="J9" s="597"/>
      <c r="K9" s="597"/>
      <c r="L9" s="597"/>
    </row>
    <row r="10" spans="1:13" x14ac:dyDescent="0.2">
      <c r="C10" s="597"/>
      <c r="D10" s="597"/>
      <c r="E10" s="597"/>
      <c r="F10" s="597"/>
      <c r="G10" s="597"/>
      <c r="H10" s="597"/>
      <c r="I10" s="597"/>
      <c r="J10" s="597"/>
      <c r="K10" s="597"/>
      <c r="L10" s="597"/>
    </row>
    <row r="11" spans="1:13" x14ac:dyDescent="0.2">
      <c r="C11" s="597"/>
      <c r="D11" s="597"/>
      <c r="E11" s="597"/>
      <c r="F11" s="597"/>
      <c r="G11" s="597"/>
      <c r="H11" s="597"/>
      <c r="I11" s="597"/>
      <c r="J11" s="597"/>
      <c r="K11" s="597"/>
      <c r="L11" s="597"/>
    </row>
    <row r="12" spans="1:13" x14ac:dyDescent="0.2">
      <c r="C12" s="597"/>
      <c r="D12" s="597"/>
      <c r="E12" s="597"/>
      <c r="F12" s="597"/>
      <c r="G12" s="597"/>
      <c r="H12" s="597"/>
      <c r="I12" s="597"/>
      <c r="J12" s="597"/>
      <c r="K12" s="597"/>
      <c r="L12" s="597"/>
    </row>
    <row r="13" spans="1:13" x14ac:dyDescent="0.2">
      <c r="D13" s="308"/>
      <c r="E13" s="308"/>
      <c r="F13" s="308"/>
      <c r="G13" s="308"/>
      <c r="H13" s="308"/>
      <c r="I13" s="308"/>
      <c r="J13" s="308"/>
      <c r="K13" s="308"/>
      <c r="L13" s="308"/>
      <c r="M13" s="308"/>
    </row>
    <row r="14" spans="1:13" ht="13.5" thickBot="1" x14ac:dyDescent="0.25">
      <c r="C14" s="1" t="s">
        <v>373</v>
      </c>
    </row>
    <row r="15" spans="1:13" ht="17.25" customHeight="1" thickTop="1" x14ac:dyDescent="0.2">
      <c r="C15" s="216" t="s">
        <v>377</v>
      </c>
      <c r="D15" s="223"/>
      <c r="E15" s="84"/>
      <c r="F15" s="84"/>
      <c r="G15" s="218"/>
    </row>
    <row r="16" spans="1:13" x14ac:dyDescent="0.2">
      <c r="C16" s="202" t="s">
        <v>376</v>
      </c>
      <c r="D16" s="224">
        <v>400</v>
      </c>
      <c r="E16" s="181" t="s">
        <v>375</v>
      </c>
      <c r="F16" s="181"/>
      <c r="G16" s="188"/>
    </row>
    <row r="17" spans="3:9" x14ac:dyDescent="0.2">
      <c r="C17" s="350" t="s">
        <v>475</v>
      </c>
      <c r="D17" s="352">
        <v>75</v>
      </c>
      <c r="E17" s="351" t="s">
        <v>476</v>
      </c>
      <c r="F17" s="181"/>
      <c r="G17" s="188"/>
    </row>
    <row r="18" spans="3:9" x14ac:dyDescent="0.2">
      <c r="C18" s="350"/>
      <c r="D18" s="352"/>
      <c r="E18" s="351"/>
      <c r="F18" s="181"/>
      <c r="G18" s="188"/>
    </row>
    <row r="19" spans="3:9" x14ac:dyDescent="0.2">
      <c r="C19" s="217" t="s">
        <v>594</v>
      </c>
      <c r="D19" s="224"/>
      <c r="E19" s="181"/>
      <c r="F19" s="181"/>
      <c r="G19" s="188"/>
    </row>
    <row r="20" spans="3:9" x14ac:dyDescent="0.2">
      <c r="C20" s="202" t="s">
        <v>378</v>
      </c>
      <c r="D20" s="224" t="s">
        <v>363</v>
      </c>
      <c r="E20" s="181" t="s">
        <v>374</v>
      </c>
      <c r="F20" s="354"/>
      <c r="G20" s="353"/>
    </row>
    <row r="21" spans="3:9" x14ac:dyDescent="0.2">
      <c r="C21" s="202" t="s">
        <v>454</v>
      </c>
      <c r="D21" s="224" t="s">
        <v>363</v>
      </c>
      <c r="E21" s="181" t="s">
        <v>374</v>
      </c>
      <c r="F21" s="354"/>
      <c r="G21" s="353"/>
    </row>
    <row r="22" spans="3:9" x14ac:dyDescent="0.2">
      <c r="C22" s="350" t="s">
        <v>455</v>
      </c>
      <c r="D22" s="224" t="s">
        <v>393</v>
      </c>
      <c r="E22" s="181" t="s">
        <v>374</v>
      </c>
      <c r="F22" s="354"/>
      <c r="G22" s="353"/>
    </row>
    <row r="23" spans="3:9" x14ac:dyDescent="0.2">
      <c r="C23" s="350" t="s">
        <v>461</v>
      </c>
      <c r="D23" s="224" t="s">
        <v>393</v>
      </c>
      <c r="E23" s="181" t="s">
        <v>374</v>
      </c>
      <c r="F23" s="354"/>
      <c r="G23" s="353"/>
    </row>
    <row r="24" spans="3:9" x14ac:dyDescent="0.2">
      <c r="C24" s="350" t="s">
        <v>456</v>
      </c>
      <c r="D24" s="224" t="s">
        <v>393</v>
      </c>
      <c r="E24" s="181" t="s">
        <v>374</v>
      </c>
      <c r="F24" s="354"/>
      <c r="G24" s="353"/>
    </row>
    <row r="25" spans="3:9" x14ac:dyDescent="0.2">
      <c r="C25" s="202" t="s">
        <v>379</v>
      </c>
      <c r="D25" s="224" t="s">
        <v>363</v>
      </c>
      <c r="E25" s="181" t="s">
        <v>374</v>
      </c>
      <c r="F25" s="354"/>
      <c r="G25" s="353"/>
    </row>
    <row r="26" spans="3:9" x14ac:dyDescent="0.2">
      <c r="C26" s="5"/>
      <c r="D26" s="224"/>
      <c r="E26" s="181"/>
      <c r="F26" s="181"/>
      <c r="G26" s="188"/>
    </row>
    <row r="27" spans="3:9" x14ac:dyDescent="0.2">
      <c r="C27" s="202" t="s">
        <v>479</v>
      </c>
      <c r="D27" s="225">
        <v>1</v>
      </c>
      <c r="E27" s="181" t="s">
        <v>480</v>
      </c>
      <c r="F27" s="181" t="s">
        <v>481</v>
      </c>
      <c r="G27" s="188"/>
    </row>
    <row r="28" spans="3:9" x14ac:dyDescent="0.2">
      <c r="C28" s="202" t="s">
        <v>482</v>
      </c>
      <c r="D28" s="225">
        <v>25</v>
      </c>
      <c r="E28" s="366" t="s">
        <v>483</v>
      </c>
      <c r="F28" s="181" t="s">
        <v>484</v>
      </c>
      <c r="G28" s="188"/>
    </row>
    <row r="29" spans="3:9" x14ac:dyDescent="0.2">
      <c r="C29" s="202" t="s">
        <v>390</v>
      </c>
      <c r="D29" s="367">
        <v>99</v>
      </c>
      <c r="E29" s="366" t="s">
        <v>391</v>
      </c>
      <c r="F29" s="366" t="s">
        <v>485</v>
      </c>
      <c r="G29" s="188"/>
      <c r="I29" s="334"/>
    </row>
    <row r="30" spans="3:9" x14ac:dyDescent="0.2">
      <c r="C30" s="202"/>
      <c r="D30" s="224"/>
      <c r="E30" s="181"/>
      <c r="F30" s="181"/>
      <c r="G30" s="188"/>
    </row>
    <row r="31" spans="3:9" x14ac:dyDescent="0.2">
      <c r="C31" s="217" t="s">
        <v>530</v>
      </c>
      <c r="D31" s="224"/>
      <c r="E31" s="181"/>
      <c r="F31" s="181"/>
      <c r="G31" s="188"/>
    </row>
    <row r="32" spans="3:9" x14ac:dyDescent="0.2">
      <c r="C32" s="202" t="s">
        <v>531</v>
      </c>
      <c r="D32" s="224">
        <v>50</v>
      </c>
      <c r="E32" s="366" t="s">
        <v>391</v>
      </c>
      <c r="F32" s="366"/>
      <c r="G32" s="188"/>
    </row>
    <row r="33" spans="3:7" x14ac:dyDescent="0.2">
      <c r="C33" s="202" t="s">
        <v>532</v>
      </c>
      <c r="D33" s="224">
        <v>3</v>
      </c>
      <c r="E33" s="491" t="s">
        <v>540</v>
      </c>
      <c r="F33" s="181"/>
      <c r="G33" s="188"/>
    </row>
    <row r="34" spans="3:7" x14ac:dyDescent="0.2">
      <c r="C34" s="202" t="s">
        <v>533</v>
      </c>
      <c r="D34" s="224">
        <v>2</v>
      </c>
      <c r="E34" s="491" t="s">
        <v>540</v>
      </c>
      <c r="F34" s="181"/>
      <c r="G34" s="188"/>
    </row>
    <row r="35" spans="3:7" x14ac:dyDescent="0.2">
      <c r="C35" s="202" t="s">
        <v>534</v>
      </c>
      <c r="D35" s="224">
        <v>2</v>
      </c>
      <c r="E35" s="491" t="s">
        <v>540</v>
      </c>
      <c r="F35" s="181"/>
      <c r="G35" s="188"/>
    </row>
    <row r="36" spans="3:7" x14ac:dyDescent="0.2">
      <c r="C36" s="202" t="s">
        <v>535</v>
      </c>
      <c r="D36" s="224">
        <v>1</v>
      </c>
      <c r="E36" s="491" t="s">
        <v>540</v>
      </c>
      <c r="F36" s="181"/>
      <c r="G36" s="188"/>
    </row>
    <row r="37" spans="3:7" x14ac:dyDescent="0.2">
      <c r="C37" s="350" t="s">
        <v>542</v>
      </c>
      <c r="D37" s="224">
        <v>1</v>
      </c>
      <c r="E37" s="491" t="s">
        <v>540</v>
      </c>
      <c r="F37" s="181"/>
      <c r="G37" s="188"/>
    </row>
    <row r="38" spans="3:7" x14ac:dyDescent="0.2">
      <c r="C38" s="350"/>
      <c r="D38" s="224"/>
      <c r="E38" s="491"/>
      <c r="F38" s="181"/>
      <c r="G38" s="188"/>
    </row>
    <row r="39" spans="3:7" x14ac:dyDescent="0.2">
      <c r="C39" s="350" t="s">
        <v>591</v>
      </c>
      <c r="D39" s="224">
        <v>1.5</v>
      </c>
      <c r="E39" s="491" t="s">
        <v>547</v>
      </c>
      <c r="F39" s="181"/>
      <c r="G39" s="188"/>
    </row>
    <row r="40" spans="3:7" x14ac:dyDescent="0.2">
      <c r="C40" s="202"/>
      <c r="D40" s="224"/>
      <c r="E40" s="181"/>
      <c r="F40" s="181"/>
      <c r="G40" s="188"/>
    </row>
    <row r="41" spans="3:7" x14ac:dyDescent="0.2">
      <c r="C41" s="202" t="s">
        <v>385</v>
      </c>
      <c r="D41" s="224">
        <v>2.2000000000000002</v>
      </c>
      <c r="E41" s="181" t="s">
        <v>381</v>
      </c>
      <c r="F41" s="181"/>
      <c r="G41" s="188"/>
    </row>
    <row r="42" spans="3:7" x14ac:dyDescent="0.2">
      <c r="C42" s="217" t="s">
        <v>595</v>
      </c>
      <c r="D42" s="224"/>
      <c r="E42" s="181"/>
      <c r="F42" s="181"/>
      <c r="G42" s="188"/>
    </row>
    <row r="43" spans="3:7" x14ac:dyDescent="0.2">
      <c r="C43" s="202" t="s">
        <v>378</v>
      </c>
      <c r="D43" s="224" t="s">
        <v>363</v>
      </c>
      <c r="E43" s="181" t="s">
        <v>374</v>
      </c>
      <c r="F43" s="63" t="s">
        <v>460</v>
      </c>
      <c r="G43" s="307" t="str">
        <f>IF(OR(D43="Y",D43="N"),"","ERROR!")</f>
        <v/>
      </c>
    </row>
    <row r="44" spans="3:7" x14ac:dyDescent="0.2">
      <c r="C44" s="202" t="s">
        <v>454</v>
      </c>
      <c r="D44" s="224" t="s">
        <v>363</v>
      </c>
      <c r="E44" s="181" t="s">
        <v>374</v>
      </c>
      <c r="F44" s="324">
        <v>0.5</v>
      </c>
      <c r="G44" s="307" t="str">
        <f>IF(OR(AND(D44="Y",F44&gt;0),D44="N"),"","ERROR!")</f>
        <v/>
      </c>
    </row>
    <row r="45" spans="3:7" x14ac:dyDescent="0.2">
      <c r="C45" s="202" t="s">
        <v>455</v>
      </c>
      <c r="D45" s="224" t="s">
        <v>393</v>
      </c>
      <c r="E45" s="181" t="s">
        <v>374</v>
      </c>
      <c r="F45" s="324">
        <v>1.5</v>
      </c>
      <c r="G45" s="307" t="str">
        <f>IF(OR(AND(D45="Y",F45&gt;0),D45="N"),"","ERROR!")</f>
        <v/>
      </c>
    </row>
    <row r="46" spans="3:7" x14ac:dyDescent="0.2">
      <c r="C46" s="202" t="s">
        <v>461</v>
      </c>
      <c r="D46" s="224" t="s">
        <v>393</v>
      </c>
      <c r="E46" s="181" t="s">
        <v>374</v>
      </c>
      <c r="F46" s="324">
        <v>2</v>
      </c>
      <c r="G46" s="307" t="str">
        <f>IF(OR(AND(D46="Y",F46&gt;0),D46="N"),"","ERROR!")</f>
        <v/>
      </c>
    </row>
    <row r="47" spans="3:7" x14ac:dyDescent="0.2">
      <c r="C47" s="202" t="s">
        <v>456</v>
      </c>
      <c r="D47" s="224" t="s">
        <v>393</v>
      </c>
      <c r="E47" s="181" t="s">
        <v>374</v>
      </c>
      <c r="F47" s="324">
        <v>2.5</v>
      </c>
      <c r="G47" s="307" t="str">
        <f>IF(OR(AND(D47="Y",F47&gt;0),D47="N"),"","ERROR!")</f>
        <v/>
      </c>
    </row>
    <row r="48" spans="3:7" ht="13.5" thickBot="1" x14ac:dyDescent="0.25">
      <c r="C48" s="202" t="s">
        <v>379</v>
      </c>
      <c r="D48" s="224" t="s">
        <v>393</v>
      </c>
      <c r="E48" s="181" t="s">
        <v>374</v>
      </c>
      <c r="F48" s="325">
        <v>0.5</v>
      </c>
      <c r="G48" s="307" t="str">
        <f>IF(OR(AND(D48="Y",F48&gt;0),D48="N"),"","ERROR!")</f>
        <v/>
      </c>
    </row>
    <row r="49" spans="2:9" ht="13.5" thickTop="1" x14ac:dyDescent="0.2">
      <c r="C49" s="496" t="s">
        <v>527</v>
      </c>
      <c r="D49" s="84"/>
      <c r="E49" s="84"/>
      <c r="F49" s="84"/>
      <c r="G49" s="218"/>
    </row>
    <row r="50" spans="2:9" x14ac:dyDescent="0.2">
      <c r="C50" s="5" t="s">
        <v>526</v>
      </c>
      <c r="D50" s="181"/>
      <c r="E50" s="181"/>
      <c r="F50" s="181"/>
      <c r="G50" s="188"/>
    </row>
    <row r="51" spans="2:9" x14ac:dyDescent="0.2">
      <c r="B51" s="181"/>
      <c r="C51" s="5"/>
      <c r="D51" s="181"/>
      <c r="E51" s="181"/>
      <c r="F51" s="181"/>
      <c r="G51" s="188"/>
      <c r="H51" s="181"/>
      <c r="I51" s="181"/>
    </row>
    <row r="52" spans="2:9" x14ac:dyDescent="0.2">
      <c r="B52" s="181"/>
      <c r="C52" s="217" t="s">
        <v>382</v>
      </c>
      <c r="D52" s="224"/>
      <c r="E52" s="181"/>
      <c r="F52" s="181"/>
      <c r="G52" s="188"/>
      <c r="H52" s="181"/>
      <c r="I52" s="181"/>
    </row>
    <row r="53" spans="2:9" x14ac:dyDescent="0.2">
      <c r="B53" s="181"/>
      <c r="C53" s="202" t="s">
        <v>383</v>
      </c>
      <c r="D53" s="352">
        <v>325</v>
      </c>
      <c r="E53" s="181" t="s">
        <v>386</v>
      </c>
      <c r="F53" s="181"/>
      <c r="G53" s="188"/>
      <c r="H53" s="181" t="s">
        <v>590</v>
      </c>
      <c r="I53" s="181"/>
    </row>
    <row r="54" spans="2:9" x14ac:dyDescent="0.2">
      <c r="B54" s="181"/>
      <c r="C54" s="202" t="s">
        <v>384</v>
      </c>
      <c r="D54" s="352">
        <v>-0.5</v>
      </c>
      <c r="E54" s="181" t="s">
        <v>387</v>
      </c>
      <c r="F54" s="181"/>
      <c r="G54" s="188"/>
      <c r="H54" s="181" t="s">
        <v>590</v>
      </c>
      <c r="I54" s="181"/>
    </row>
    <row r="55" spans="2:9" x14ac:dyDescent="0.2">
      <c r="B55" s="181"/>
      <c r="C55" s="202"/>
      <c r="D55" s="352"/>
      <c r="E55" s="181"/>
      <c r="F55" s="181"/>
      <c r="G55" s="188"/>
      <c r="H55" s="181"/>
      <c r="I55" s="181"/>
    </row>
    <row r="56" spans="2:9" x14ac:dyDescent="0.2">
      <c r="B56" s="181"/>
      <c r="C56" s="217" t="s">
        <v>528</v>
      </c>
      <c r="D56" s="352"/>
      <c r="E56" s="181"/>
      <c r="F56" s="181"/>
      <c r="G56" s="188"/>
      <c r="H56" s="181"/>
      <c r="I56" s="181"/>
    </row>
    <row r="57" spans="2:9" x14ac:dyDescent="0.2">
      <c r="B57" s="181"/>
      <c r="C57" s="202" t="s">
        <v>575</v>
      </c>
      <c r="D57" s="352">
        <v>95</v>
      </c>
      <c r="E57" s="181" t="s">
        <v>391</v>
      </c>
      <c r="F57" s="181"/>
      <c r="G57" s="188"/>
      <c r="H57" s="181" t="s">
        <v>589</v>
      </c>
    </row>
    <row r="58" spans="2:9" x14ac:dyDescent="0.2">
      <c r="B58" s="181"/>
      <c r="C58" s="202" t="s">
        <v>573</v>
      </c>
      <c r="D58" s="352">
        <v>4.9000000000000004</v>
      </c>
      <c r="E58" s="181" t="s">
        <v>391</v>
      </c>
      <c r="F58" s="181"/>
      <c r="G58" s="188"/>
      <c r="H58" s="181" t="s">
        <v>588</v>
      </c>
    </row>
    <row r="59" spans="2:9" x14ac:dyDescent="0.2">
      <c r="B59" s="181"/>
      <c r="C59" s="350" t="s">
        <v>574</v>
      </c>
      <c r="D59" s="352">
        <v>5</v>
      </c>
      <c r="E59" s="351" t="s">
        <v>391</v>
      </c>
      <c r="F59" s="181"/>
      <c r="G59" s="188"/>
      <c r="H59" s="366" t="s">
        <v>590</v>
      </c>
    </row>
    <row r="60" spans="2:9" x14ac:dyDescent="0.2">
      <c r="C60" s="202"/>
      <c r="D60" s="352"/>
      <c r="E60" s="181"/>
      <c r="F60" s="181"/>
      <c r="G60" s="188"/>
    </row>
    <row r="61" spans="2:9" x14ac:dyDescent="0.2">
      <c r="B61" s="181"/>
      <c r="C61" s="217" t="s">
        <v>536</v>
      </c>
      <c r="D61" s="352"/>
      <c r="E61" s="181"/>
      <c r="F61" s="181"/>
      <c r="G61" s="188"/>
    </row>
    <row r="62" spans="2:9" x14ac:dyDescent="0.2">
      <c r="B62" s="181"/>
      <c r="C62" s="202" t="s">
        <v>529</v>
      </c>
      <c r="D62" s="352">
        <v>7.46</v>
      </c>
      <c r="E62" s="351" t="s">
        <v>525</v>
      </c>
      <c r="F62" s="181"/>
      <c r="G62" s="188"/>
      <c r="H62" s="65" t="s">
        <v>579</v>
      </c>
    </row>
    <row r="63" spans="2:9" x14ac:dyDescent="0.2">
      <c r="B63" s="181"/>
      <c r="C63" s="350" t="s">
        <v>539</v>
      </c>
      <c r="D63" s="352">
        <v>16.399999999999999</v>
      </c>
      <c r="E63" s="351" t="s">
        <v>391</v>
      </c>
      <c r="F63" s="181"/>
      <c r="G63" s="188"/>
      <c r="H63" s="65" t="s">
        <v>579</v>
      </c>
    </row>
    <row r="64" spans="2:9" ht="13.5" thickBot="1" x14ac:dyDescent="0.25">
      <c r="B64" s="181"/>
      <c r="C64" s="497" t="s">
        <v>538</v>
      </c>
      <c r="D64" s="501">
        <v>89</v>
      </c>
      <c r="E64" s="498" t="s">
        <v>537</v>
      </c>
      <c r="F64" s="495"/>
      <c r="G64" s="219"/>
      <c r="H64" s="65" t="s">
        <v>580</v>
      </c>
    </row>
    <row r="65" spans="2:12" ht="13.5" thickTop="1" x14ac:dyDescent="0.2">
      <c r="B65" s="181"/>
      <c r="C65" s="351"/>
      <c r="D65" s="490"/>
      <c r="E65" s="351"/>
    </row>
    <row r="66" spans="2:12" x14ac:dyDescent="0.2">
      <c r="B66" s="181"/>
      <c r="C66" s="351"/>
      <c r="D66" s="490"/>
      <c r="E66" s="351"/>
    </row>
    <row r="67" spans="2:12" x14ac:dyDescent="0.2">
      <c r="B67" s="181"/>
      <c r="C67" s="181"/>
      <c r="D67" s="181"/>
    </row>
    <row r="68" spans="2:12" x14ac:dyDescent="0.2">
      <c r="B68" s="181"/>
      <c r="C68" s="181"/>
      <c r="D68" s="181"/>
      <c r="L68" t="str">
        <f>I68&amp;" "&amp;E68</f>
        <v xml:space="preserve"> </v>
      </c>
    </row>
    <row r="69" spans="2:12" x14ac:dyDescent="0.2">
      <c r="B69" s="181"/>
      <c r="C69" s="181"/>
      <c r="D69" s="181"/>
      <c r="L69" t="str">
        <f>I69&amp;" "&amp;E69</f>
        <v xml:space="preserve"> </v>
      </c>
    </row>
    <row r="70" spans="2:12" x14ac:dyDescent="0.2">
      <c r="B70" s="181"/>
      <c r="C70" s="181"/>
      <c r="D70" s="181"/>
    </row>
    <row r="74" spans="2:12" ht="13.5" thickBot="1" x14ac:dyDescent="0.25"/>
    <row r="75" spans="2:12" ht="13.5" thickTop="1" x14ac:dyDescent="0.2">
      <c r="B75" s="4" t="s">
        <v>388</v>
      </c>
      <c r="C75" s="218"/>
    </row>
    <row r="76" spans="2:12" x14ac:dyDescent="0.2">
      <c r="B76" s="309">
        <f>IF(('Output - Criteria'!D8/D16)&gt;=8760,8760,'Output - Criteria'!D8/D16)</f>
        <v>3744.8</v>
      </c>
      <c r="C76" s="188" t="s">
        <v>394</v>
      </c>
    </row>
    <row r="77" spans="2:12" x14ac:dyDescent="0.2">
      <c r="B77" s="5" t="s">
        <v>407</v>
      </c>
      <c r="C77" s="595" t="s">
        <v>409</v>
      </c>
    </row>
    <row r="78" spans="2:12" x14ac:dyDescent="0.2">
      <c r="B78" s="5" t="s">
        <v>408</v>
      </c>
      <c r="C78" s="595"/>
    </row>
    <row r="79" spans="2:12" ht="13.5" thickBot="1" x14ac:dyDescent="0.25">
      <c r="B79" s="6">
        <v>1</v>
      </c>
      <c r="C79" s="219" t="s">
        <v>410</v>
      </c>
    </row>
    <row r="80" spans="2:12" ht="13.5" thickTop="1" x14ac:dyDescent="0.2"/>
  </sheetData>
  <mergeCells count="6">
    <mergeCell ref="C77:C78"/>
    <mergeCell ref="C5:L6"/>
    <mergeCell ref="C8:L12"/>
    <mergeCell ref="A1:L1"/>
    <mergeCell ref="A2:L2"/>
    <mergeCell ref="A3:L3"/>
  </mergeCells>
  <phoneticPr fontId="3" type="noConversion"/>
  <pageMargins left="0.75" right="0.75" top="1" bottom="1" header="0.5" footer="0.5"/>
  <pageSetup scale="61" orientation="portrait" r:id="rId1"/>
  <headerFooter alignWithMargins="0">
    <oddHeader>&amp;RInputs - &amp;D</oddHeader>
  </headerFooter>
  <rowBreaks count="1" manualBreakCount="1">
    <brk id="49"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3</xdr:col>
                    <xdr:colOff>0</xdr:colOff>
                    <xdr:row>14</xdr:row>
                    <xdr:rowOff>9525</xdr:rowOff>
                  </from>
                  <to>
                    <xdr:col>4</xdr:col>
                    <xdr:colOff>247650</xdr:colOff>
                    <xdr:row>14</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7EE7-315B-46B7-B047-D61977248263}">
  <sheetPr codeName="Sheet2">
    <tabColor indexed="8"/>
  </sheetPr>
  <dimension ref="A1:Y63"/>
  <sheetViews>
    <sheetView zoomScaleNormal="100" workbookViewId="0">
      <selection activeCell="A2" sqref="A2:K2"/>
    </sheetView>
  </sheetViews>
  <sheetFormatPr defaultRowHeight="12.75" x14ac:dyDescent="0.2"/>
  <cols>
    <col min="1" max="1" width="16.5703125" bestFit="1" customWidth="1"/>
    <col min="2" max="2" width="9.28515625" bestFit="1" customWidth="1"/>
    <col min="3" max="3" width="14.5703125" customWidth="1"/>
    <col min="4" max="4" width="12.28515625" customWidth="1"/>
    <col min="5" max="5" width="10.140625" bestFit="1" customWidth="1"/>
    <col min="6" max="6" width="10.7109375" bestFit="1" customWidth="1"/>
    <col min="7" max="7" width="14.5703125" customWidth="1"/>
    <col min="8" max="8" width="11.42578125" customWidth="1"/>
    <col min="9" max="9" width="9.28515625" bestFit="1" customWidth="1"/>
    <col min="11" max="11" width="14.42578125" customWidth="1"/>
    <col min="12" max="13" width="9.28515625" bestFit="1" customWidth="1"/>
    <col min="15" max="15" width="14.42578125" customWidth="1"/>
    <col min="16" max="16" width="9.28515625" bestFit="1" customWidth="1"/>
    <col min="19" max="19" width="14.7109375" bestFit="1" customWidth="1"/>
    <col min="23" max="23" width="14.7109375" bestFit="1" customWidth="1"/>
  </cols>
  <sheetData>
    <row r="1" spans="1:15" ht="20.25" x14ac:dyDescent="0.3">
      <c r="A1" s="598" t="s">
        <v>509</v>
      </c>
      <c r="B1" s="598"/>
      <c r="C1" s="598"/>
      <c r="D1" s="598"/>
      <c r="E1" s="598"/>
      <c r="F1" s="598"/>
      <c r="G1" s="598"/>
      <c r="H1" s="598"/>
      <c r="I1" s="598"/>
      <c r="J1" s="598"/>
      <c r="K1" s="598"/>
      <c r="L1" s="466"/>
      <c r="M1" s="466"/>
      <c r="N1" s="466"/>
      <c r="O1" s="466"/>
    </row>
    <row r="2" spans="1:15" x14ac:dyDescent="0.2">
      <c r="A2" s="599">
        <v>40876</v>
      </c>
      <c r="B2" s="599"/>
      <c r="C2" s="599"/>
      <c r="D2" s="599"/>
      <c r="E2" s="599"/>
      <c r="F2" s="599"/>
      <c r="G2" s="599"/>
      <c r="H2" s="599"/>
      <c r="I2" s="599"/>
      <c r="J2" s="599"/>
      <c r="K2" s="599"/>
      <c r="L2" s="467"/>
      <c r="M2" s="467"/>
      <c r="N2" s="467"/>
      <c r="O2" s="467"/>
    </row>
    <row r="3" spans="1:15" ht="39.75" customHeight="1" x14ac:dyDescent="0.2">
      <c r="A3" s="606" t="s">
        <v>522</v>
      </c>
      <c r="B3" s="606"/>
      <c r="C3" s="606"/>
      <c r="D3" s="606"/>
      <c r="E3" s="606"/>
      <c r="F3" s="606"/>
      <c r="G3" s="606"/>
      <c r="H3" s="606"/>
      <c r="I3" s="606"/>
      <c r="J3" s="606"/>
      <c r="K3" s="606"/>
      <c r="L3" s="467"/>
      <c r="M3" s="467"/>
      <c r="N3" s="467"/>
      <c r="O3" s="467"/>
    </row>
    <row r="5" spans="1:15" x14ac:dyDescent="0.2">
      <c r="B5" s="1" t="s">
        <v>12</v>
      </c>
    </row>
    <row r="6" spans="1:15" x14ac:dyDescent="0.2">
      <c r="B6" s="146">
        <f>Inputs!D16</f>
        <v>400</v>
      </c>
      <c r="C6" t="s">
        <v>0</v>
      </c>
      <c r="H6" s="146" t="s">
        <v>255</v>
      </c>
    </row>
    <row r="7" spans="1:15" x14ac:dyDescent="0.2">
      <c r="B7" s="226">
        <f>Inputs!B76</f>
        <v>3744.8</v>
      </c>
      <c r="C7" t="s">
        <v>389</v>
      </c>
      <c r="H7" s="3" t="s">
        <v>22</v>
      </c>
    </row>
    <row r="9" spans="1:15" ht="13.5" thickBot="1" x14ac:dyDescent="0.25">
      <c r="C9" s="661" t="str">
        <f>IF(Inputs!$B$79=2,"DO NOT USE THESE, YOU SPECIFIED BATCH MIX IN THE INPUTS!","")</f>
        <v/>
      </c>
      <c r="D9" s="661"/>
      <c r="E9" s="661"/>
      <c r="F9" s="661"/>
      <c r="G9" s="661"/>
    </row>
    <row r="10" spans="1:15" ht="13.5" thickTop="1" x14ac:dyDescent="0.2">
      <c r="B10" s="145" t="s">
        <v>11</v>
      </c>
      <c r="C10" s="637" t="s">
        <v>4</v>
      </c>
      <c r="D10" s="650" t="s">
        <v>16</v>
      </c>
      <c r="E10" s="663"/>
      <c r="F10" s="650" t="s">
        <v>17</v>
      </c>
      <c r="G10" s="654"/>
    </row>
    <row r="11" spans="1:15" ht="13.5" thickBot="1" x14ac:dyDescent="0.25">
      <c r="C11" s="662"/>
      <c r="D11" s="8" t="s">
        <v>9</v>
      </c>
      <c r="E11" s="9" t="s">
        <v>10</v>
      </c>
      <c r="F11" s="8" t="s">
        <v>9</v>
      </c>
      <c r="G11" s="10" t="s">
        <v>10</v>
      </c>
    </row>
    <row r="12" spans="1:15" x14ac:dyDescent="0.2">
      <c r="C12" s="11" t="s">
        <v>1</v>
      </c>
      <c r="D12" s="12">
        <f>D25</f>
        <v>11200</v>
      </c>
      <c r="E12" s="13">
        <f>E25</f>
        <v>49056</v>
      </c>
      <c r="F12" s="12">
        <f>H25</f>
        <v>13.200000000000001</v>
      </c>
      <c r="G12" s="14">
        <f>I25</f>
        <v>24.715680000000003</v>
      </c>
    </row>
    <row r="13" spans="1:15" x14ac:dyDescent="0.2">
      <c r="C13" s="15" t="s">
        <v>2</v>
      </c>
      <c r="D13" s="16">
        <f>D26</f>
        <v>2600</v>
      </c>
      <c r="E13" s="17">
        <f>E26</f>
        <v>11388</v>
      </c>
      <c r="F13" s="16">
        <f>H26</f>
        <v>9.1999999999999993</v>
      </c>
      <c r="G13" s="18">
        <f>I26</f>
        <v>17.22608</v>
      </c>
    </row>
    <row r="14" spans="1:15" x14ac:dyDescent="0.2">
      <c r="C14" s="15" t="s">
        <v>412</v>
      </c>
      <c r="D14" s="16">
        <f>D32</f>
        <v>600</v>
      </c>
      <c r="E14" s="17">
        <f>E32</f>
        <v>2628</v>
      </c>
      <c r="F14" s="16">
        <f>H32</f>
        <v>1.1599999999999999</v>
      </c>
      <c r="G14" s="18">
        <f>I32</f>
        <v>2.1719840000000001</v>
      </c>
    </row>
    <row r="15" spans="1:15" x14ac:dyDescent="0.2">
      <c r="C15" s="15" t="s">
        <v>13</v>
      </c>
      <c r="D15" s="16">
        <f>MAX(D39,H39,L39)</f>
        <v>23.200000000000003</v>
      </c>
      <c r="E15" s="17">
        <f>MAX(E39,I39,M39)</f>
        <v>101.61600000000001</v>
      </c>
      <c r="F15" s="16">
        <f>MAX(P39,T39,X39)</f>
        <v>23.200000000000003</v>
      </c>
      <c r="G15" s="18">
        <f>MAX(Q39,U39,Y39)</f>
        <v>43.43968000000001</v>
      </c>
    </row>
    <row r="16" spans="1:15" x14ac:dyDescent="0.2">
      <c r="C16" s="15" t="s">
        <v>14</v>
      </c>
      <c r="D16" s="16">
        <f>MAX(D40,H40,L40)</f>
        <v>22</v>
      </c>
      <c r="E16" s="17">
        <f>MAX(E40,I40,M40)</f>
        <v>96.36</v>
      </c>
      <c r="F16" s="16">
        <f>MAX(P40,T40,X40)</f>
        <v>22</v>
      </c>
      <c r="G16" s="18">
        <f>MAX(Q40,U40,Y40)</f>
        <v>41.192800000000005</v>
      </c>
    </row>
    <row r="17" spans="1:9" x14ac:dyDescent="0.2">
      <c r="C17" s="15" t="s">
        <v>3</v>
      </c>
      <c r="D17" s="16">
        <f>D47</f>
        <v>52</v>
      </c>
      <c r="E17" s="17">
        <f>E47</f>
        <v>227.76</v>
      </c>
      <c r="F17" s="16">
        <f>H47</f>
        <v>52</v>
      </c>
      <c r="G17" s="18">
        <f>I47</f>
        <v>97.364800000000002</v>
      </c>
    </row>
    <row r="18" spans="1:9" x14ac:dyDescent="0.2">
      <c r="C18" s="15" t="s">
        <v>15</v>
      </c>
      <c r="D18" s="16">
        <f>D53</f>
        <v>12.8</v>
      </c>
      <c r="E18" s="17">
        <f>E53</f>
        <v>56.064</v>
      </c>
      <c r="F18" s="16">
        <f>H53</f>
        <v>12.8</v>
      </c>
      <c r="G18" s="18">
        <f>I53</f>
        <v>23.966720000000002</v>
      </c>
    </row>
    <row r="19" spans="1:9" ht="13.5" thickBot="1" x14ac:dyDescent="0.25">
      <c r="C19" s="19" t="s">
        <v>158</v>
      </c>
      <c r="D19" s="20">
        <f>MAX(D60,H60)</f>
        <v>6.0000000000000001E-3</v>
      </c>
      <c r="E19" s="43">
        <f>MAX(E60,I60)</f>
        <v>2.6280000000000001E-2</v>
      </c>
      <c r="F19" s="20">
        <f>MAX(L60,P60)</f>
        <v>6.0000000000000001E-3</v>
      </c>
      <c r="G19" s="21">
        <f>MAX(M60,Q60)</f>
        <v>1.12344E-2</v>
      </c>
    </row>
    <row r="20" spans="1:9" ht="13.5" thickTop="1" x14ac:dyDescent="0.2"/>
    <row r="21" spans="1:9" ht="13.5" thickBot="1" x14ac:dyDescent="0.25"/>
    <row r="22" spans="1:9" ht="14.25" thickTop="1" thickBot="1" x14ac:dyDescent="0.25">
      <c r="A22" s="4" t="s">
        <v>7</v>
      </c>
      <c r="B22" s="641" t="s">
        <v>362</v>
      </c>
      <c r="C22" s="638"/>
      <c r="D22" s="638"/>
      <c r="E22" s="639"/>
      <c r="F22" s="641" t="s">
        <v>17</v>
      </c>
      <c r="G22" s="638"/>
      <c r="H22" s="638"/>
      <c r="I22" s="642"/>
    </row>
    <row r="23" spans="1:9" x14ac:dyDescent="0.2">
      <c r="A23" s="5" t="s">
        <v>18</v>
      </c>
      <c r="B23" s="643" t="s">
        <v>4</v>
      </c>
      <c r="C23" s="23" t="s">
        <v>5</v>
      </c>
      <c r="D23" s="632" t="s">
        <v>8</v>
      </c>
      <c r="E23" s="640"/>
      <c r="F23" s="643" t="s">
        <v>4</v>
      </c>
      <c r="G23" s="23" t="s">
        <v>5</v>
      </c>
      <c r="H23" s="632" t="s">
        <v>8</v>
      </c>
      <c r="I23" s="633"/>
    </row>
    <row r="24" spans="1:9" ht="13.5" thickBot="1" x14ac:dyDescent="0.25">
      <c r="A24" s="5"/>
      <c r="B24" s="644"/>
      <c r="C24" s="24" t="s">
        <v>6</v>
      </c>
      <c r="D24" s="8" t="s">
        <v>9</v>
      </c>
      <c r="E24" s="22" t="s">
        <v>10</v>
      </c>
      <c r="F24" s="644"/>
      <c r="G24" s="24" t="s">
        <v>6</v>
      </c>
      <c r="H24" s="8" t="s">
        <v>9</v>
      </c>
      <c r="I24" s="10" t="s">
        <v>10</v>
      </c>
    </row>
    <row r="25" spans="1:9" x14ac:dyDescent="0.2">
      <c r="A25" s="5"/>
      <c r="B25" s="25" t="s">
        <v>1</v>
      </c>
      <c r="C25" s="123">
        <v>28</v>
      </c>
      <c r="D25" s="26">
        <f>$B$6*C25</f>
        <v>11200</v>
      </c>
      <c r="E25" s="27">
        <f>D25*8760/2000</f>
        <v>49056</v>
      </c>
      <c r="F25" s="34" t="s">
        <v>1</v>
      </c>
      <c r="G25" s="123">
        <v>3.3000000000000002E-2</v>
      </c>
      <c r="H25" s="26">
        <f>$B$6*G25</f>
        <v>13.200000000000001</v>
      </c>
      <c r="I25" s="40">
        <f>H25*$B$7/2000</f>
        <v>24.715680000000003</v>
      </c>
    </row>
    <row r="26" spans="1:9" ht="13.5" thickBot="1" x14ac:dyDescent="0.25">
      <c r="A26" s="6"/>
      <c r="B26" s="31" t="s">
        <v>2</v>
      </c>
      <c r="C26" s="124">
        <v>6.5</v>
      </c>
      <c r="D26" s="32">
        <f>$B$6*C26</f>
        <v>2600</v>
      </c>
      <c r="E26" s="33">
        <f>D26*8760/2000</f>
        <v>11388</v>
      </c>
      <c r="F26" s="38" t="s">
        <v>2</v>
      </c>
      <c r="G26" s="124">
        <v>2.3E-2</v>
      </c>
      <c r="H26" s="32">
        <f>$B$6*G26</f>
        <v>9.1999999999999993</v>
      </c>
      <c r="I26" s="41">
        <f>H26*$B$7/2000</f>
        <v>17.22608</v>
      </c>
    </row>
    <row r="27" spans="1:9" ht="13.5" thickTop="1" x14ac:dyDescent="0.2"/>
    <row r="28" spans="1:9" ht="13.5" thickBot="1" x14ac:dyDescent="0.25"/>
    <row r="29" spans="1:9" ht="14.25" thickTop="1" thickBot="1" x14ac:dyDescent="0.25">
      <c r="A29" s="4" t="s">
        <v>412</v>
      </c>
      <c r="B29" s="641" t="s">
        <v>362</v>
      </c>
      <c r="C29" s="638"/>
      <c r="D29" s="638"/>
      <c r="E29" s="639"/>
      <c r="F29" s="641" t="s">
        <v>17</v>
      </c>
      <c r="G29" s="638"/>
      <c r="H29" s="638"/>
      <c r="I29" s="642"/>
    </row>
    <row r="30" spans="1:9" x14ac:dyDescent="0.2">
      <c r="A30" s="5" t="s">
        <v>413</v>
      </c>
      <c r="B30" s="643" t="s">
        <v>4</v>
      </c>
      <c r="C30" s="23" t="s">
        <v>5</v>
      </c>
      <c r="D30" s="632" t="s">
        <v>8</v>
      </c>
      <c r="E30" s="640"/>
      <c r="F30" s="643" t="s">
        <v>4</v>
      </c>
      <c r="G30" s="23" t="s">
        <v>5</v>
      </c>
      <c r="H30" s="632" t="s">
        <v>8</v>
      </c>
      <c r="I30" s="633"/>
    </row>
    <row r="31" spans="1:9" ht="13.5" thickBot="1" x14ac:dyDescent="0.25">
      <c r="A31" s="5"/>
      <c r="B31" s="644"/>
      <c r="C31" s="24" t="s">
        <v>6</v>
      </c>
      <c r="D31" s="8" t="s">
        <v>9</v>
      </c>
      <c r="E31" s="22" t="s">
        <v>10</v>
      </c>
      <c r="F31" s="644"/>
      <c r="G31" s="24" t="s">
        <v>6</v>
      </c>
      <c r="H31" s="8" t="s">
        <v>9</v>
      </c>
      <c r="I31" s="10" t="s">
        <v>10</v>
      </c>
    </row>
    <row r="32" spans="1:9" ht="13.5" thickBot="1" x14ac:dyDescent="0.25">
      <c r="A32" s="6"/>
      <c r="B32" s="79" t="s">
        <v>412</v>
      </c>
      <c r="C32" s="127">
        <v>1.5</v>
      </c>
      <c r="D32" s="80">
        <f>$B$6*C32</f>
        <v>600</v>
      </c>
      <c r="E32" s="81">
        <f>D32*8760/2000</f>
        <v>2628</v>
      </c>
      <c r="F32" s="82" t="s">
        <v>412</v>
      </c>
      <c r="G32" s="127">
        <v>2.8999999999999998E-3</v>
      </c>
      <c r="H32" s="80">
        <f>$B$6*G32</f>
        <v>1.1599999999999999</v>
      </c>
      <c r="I32" s="215">
        <f>H32*$B$7/2000</f>
        <v>2.1719840000000001</v>
      </c>
    </row>
    <row r="33" spans="1:25" ht="13.5" thickTop="1" x14ac:dyDescent="0.2"/>
    <row r="34" spans="1:25" ht="13.5" thickBot="1" x14ac:dyDescent="0.25"/>
    <row r="35" spans="1:25" ht="13.5" thickTop="1" x14ac:dyDescent="0.2">
      <c r="A35" s="4" t="s">
        <v>370</v>
      </c>
      <c r="B35" s="641" t="s">
        <v>362</v>
      </c>
      <c r="C35" s="638"/>
      <c r="D35" s="638"/>
      <c r="E35" s="638"/>
      <c r="F35" s="638"/>
      <c r="G35" s="638"/>
      <c r="H35" s="638"/>
      <c r="I35" s="638"/>
      <c r="J35" s="638"/>
      <c r="K35" s="638"/>
      <c r="L35" s="638"/>
      <c r="M35" s="638"/>
      <c r="N35" s="208"/>
      <c r="O35" s="209"/>
      <c r="P35" s="209"/>
      <c r="Q35" s="209"/>
      <c r="R35" s="638" t="s">
        <v>358</v>
      </c>
      <c r="S35" s="638"/>
      <c r="T35" s="638"/>
      <c r="U35" s="638"/>
      <c r="V35" s="638"/>
      <c r="W35" s="638"/>
      <c r="X35" s="638"/>
      <c r="Y35" s="642"/>
    </row>
    <row r="36" spans="1:25" ht="13.5" thickBot="1" x14ac:dyDescent="0.25">
      <c r="A36" s="5" t="s">
        <v>19</v>
      </c>
      <c r="B36" s="613" t="s">
        <v>20</v>
      </c>
      <c r="C36" s="657"/>
      <c r="D36" s="657"/>
      <c r="E36" s="658"/>
      <c r="F36" s="613" t="s">
        <v>415</v>
      </c>
      <c r="G36" s="657"/>
      <c r="H36" s="657"/>
      <c r="I36" s="658"/>
      <c r="J36" s="613" t="s">
        <v>367</v>
      </c>
      <c r="K36" s="657"/>
      <c r="L36" s="657"/>
      <c r="M36" s="658"/>
      <c r="N36" s="613" t="s">
        <v>20</v>
      </c>
      <c r="O36" s="657"/>
      <c r="P36" s="657"/>
      <c r="Q36" s="658"/>
      <c r="R36" s="613" t="s">
        <v>415</v>
      </c>
      <c r="S36" s="657"/>
      <c r="T36" s="657"/>
      <c r="U36" s="659"/>
      <c r="V36" s="613" t="s">
        <v>367</v>
      </c>
      <c r="W36" s="657"/>
      <c r="X36" s="657"/>
      <c r="Y36" s="658"/>
    </row>
    <row r="37" spans="1:25" x14ac:dyDescent="0.2">
      <c r="A37" s="5"/>
      <c r="B37" s="643" t="s">
        <v>4</v>
      </c>
      <c r="C37" s="23" t="s">
        <v>5</v>
      </c>
      <c r="D37" s="632" t="s">
        <v>8</v>
      </c>
      <c r="E37" s="640"/>
      <c r="F37" s="643" t="s">
        <v>4</v>
      </c>
      <c r="G37" s="23" t="s">
        <v>5</v>
      </c>
      <c r="H37" s="632" t="s">
        <v>8</v>
      </c>
      <c r="I37" s="660"/>
      <c r="J37" s="643" t="s">
        <v>4</v>
      </c>
      <c r="K37" s="23" t="s">
        <v>5</v>
      </c>
      <c r="L37" s="632" t="s">
        <v>8</v>
      </c>
      <c r="M37" s="640"/>
      <c r="N37" s="643" t="s">
        <v>4</v>
      </c>
      <c r="O37" s="23" t="s">
        <v>5</v>
      </c>
      <c r="P37" s="632" t="s">
        <v>8</v>
      </c>
      <c r="Q37" s="640"/>
      <c r="R37" s="643" t="s">
        <v>4</v>
      </c>
      <c r="S37" s="23" t="s">
        <v>5</v>
      </c>
      <c r="T37" s="632" t="s">
        <v>8</v>
      </c>
      <c r="U37" s="633"/>
      <c r="V37" s="643" t="s">
        <v>4</v>
      </c>
      <c r="W37" s="23" t="s">
        <v>5</v>
      </c>
      <c r="X37" s="632" t="s">
        <v>8</v>
      </c>
      <c r="Y37" s="640"/>
    </row>
    <row r="38" spans="1:25" ht="13.5" thickBot="1" x14ac:dyDescent="0.25">
      <c r="A38" s="5"/>
      <c r="B38" s="644"/>
      <c r="C38" s="24" t="s">
        <v>6</v>
      </c>
      <c r="D38" s="8" t="s">
        <v>9</v>
      </c>
      <c r="E38" s="22" t="s">
        <v>10</v>
      </c>
      <c r="F38" s="644"/>
      <c r="G38" s="24" t="s">
        <v>6</v>
      </c>
      <c r="H38" s="8" t="s">
        <v>9</v>
      </c>
      <c r="I38" s="9" t="s">
        <v>10</v>
      </c>
      <c r="J38" s="644"/>
      <c r="K38" s="24" t="s">
        <v>6</v>
      </c>
      <c r="L38" s="8" t="s">
        <v>9</v>
      </c>
      <c r="M38" s="22" t="s">
        <v>10</v>
      </c>
      <c r="N38" s="644"/>
      <c r="O38" s="24" t="s">
        <v>6</v>
      </c>
      <c r="P38" s="8" t="s">
        <v>9</v>
      </c>
      <c r="Q38" s="22" t="s">
        <v>10</v>
      </c>
      <c r="R38" s="644"/>
      <c r="S38" s="24" t="s">
        <v>6</v>
      </c>
      <c r="T38" s="8" t="s">
        <v>9</v>
      </c>
      <c r="U38" s="10" t="s">
        <v>10</v>
      </c>
      <c r="V38" s="644"/>
      <c r="W38" s="24" t="s">
        <v>6</v>
      </c>
      <c r="X38" s="8" t="s">
        <v>9</v>
      </c>
      <c r="Y38" s="22" t="s">
        <v>10</v>
      </c>
    </row>
    <row r="39" spans="1:25" x14ac:dyDescent="0.2">
      <c r="A39" s="5"/>
      <c r="B39" s="25" t="s">
        <v>13</v>
      </c>
      <c r="C39" s="123">
        <v>3.3999999999999998E-3</v>
      </c>
      <c r="D39" s="26">
        <f>IF(Inputs!$D$20="Y",$B$6*C39,0)</f>
        <v>1.3599999999999999</v>
      </c>
      <c r="E39" s="27">
        <f>D39*8760/2000</f>
        <v>5.9567999999999994</v>
      </c>
      <c r="F39" s="34" t="s">
        <v>13</v>
      </c>
      <c r="G39" s="123">
        <v>1.0999999999999999E-2</v>
      </c>
      <c r="H39" s="26">
        <f>IF(Inputs!$D$21="Y",$B$6*G39,0)</f>
        <v>4.3999999999999995</v>
      </c>
      <c r="I39" s="35">
        <f>H39*8760/2000</f>
        <v>19.271999999999995</v>
      </c>
      <c r="J39" s="25" t="s">
        <v>13</v>
      </c>
      <c r="K39" s="123">
        <v>5.8000000000000003E-2</v>
      </c>
      <c r="L39" s="26">
        <f>IF(OR(Inputs!$D$22="Y",Inputs!$D$23="Y",Inputs!$D$24="Y",Inputs!$D$25="Y"),$B$6*K39,0)</f>
        <v>23.200000000000003</v>
      </c>
      <c r="M39" s="27">
        <f>L39*8760/2000</f>
        <v>101.61600000000001</v>
      </c>
      <c r="N39" s="25" t="s">
        <v>13</v>
      </c>
      <c r="O39" s="123">
        <v>3.3999999999999998E-3</v>
      </c>
      <c r="P39" s="26">
        <f>IF(Inputs!$D$20="Y",$B$6*O39,0)</f>
        <v>1.3599999999999999</v>
      </c>
      <c r="Q39" s="27">
        <f>P39*$B$7/2000</f>
        <v>2.5464639999999998</v>
      </c>
      <c r="R39" s="34" t="s">
        <v>13</v>
      </c>
      <c r="S39" s="123">
        <v>1.0999999999999999E-2</v>
      </c>
      <c r="T39" s="26">
        <f>IF(Inputs!$D$21="Y",$B$6*S39,0)</f>
        <v>4.3999999999999995</v>
      </c>
      <c r="U39" s="40">
        <f>T39*$B$7/2000</f>
        <v>8.2385599999999997</v>
      </c>
      <c r="V39" s="25" t="s">
        <v>13</v>
      </c>
      <c r="W39" s="123">
        <v>5.8000000000000003E-2</v>
      </c>
      <c r="X39" s="26">
        <f>IF(OR(Inputs!$D$22="Y",Inputs!$D$23="Y",Inputs!$D$24="Y",Inputs!$D$25="Y"),$B$6*W39,0)</f>
        <v>23.200000000000003</v>
      </c>
      <c r="Y39" s="27">
        <f>X39*$B$7/2000</f>
        <v>43.43968000000001</v>
      </c>
    </row>
    <row r="40" spans="1:25" x14ac:dyDescent="0.2">
      <c r="A40" s="5"/>
      <c r="B40" s="28" t="s">
        <v>14</v>
      </c>
      <c r="C40" s="125">
        <v>2.5999999999999999E-2</v>
      </c>
      <c r="D40" s="29">
        <f>IF(Inputs!$D$20="Y",$B$6*C40,0)</f>
        <v>10.4</v>
      </c>
      <c r="E40" s="30">
        <f>D40*8760/2000</f>
        <v>45.552</v>
      </c>
      <c r="F40" s="36" t="s">
        <v>14</v>
      </c>
      <c r="G40" s="125">
        <v>5.5E-2</v>
      </c>
      <c r="H40" s="29">
        <f>IF(Inputs!$D$21="Y",$B$6*G40,0)</f>
        <v>22</v>
      </c>
      <c r="I40" s="37">
        <f>H40*8760/2000</f>
        <v>96.36</v>
      </c>
      <c r="J40" s="28" t="s">
        <v>14</v>
      </c>
      <c r="K40" s="125">
        <v>5.5E-2</v>
      </c>
      <c r="L40" s="29">
        <f>IF(OR(Inputs!$D$22="Y",Inputs!$D$23="Y",Inputs!$D$24="Y",Inputs!$D$25="Y"),$B$6*K40,0)</f>
        <v>22</v>
      </c>
      <c r="M40" s="30">
        <f>L40*8760/2000</f>
        <v>96.36</v>
      </c>
      <c r="N40" s="28" t="s">
        <v>14</v>
      </c>
      <c r="O40" s="125">
        <v>2.5999999999999999E-2</v>
      </c>
      <c r="P40" s="29">
        <f>IF(Inputs!$D$20="Y",$B$6*O40,0)</f>
        <v>10.4</v>
      </c>
      <c r="Q40" s="30">
        <f>P40*$B$7/2000</f>
        <v>19.472960000000004</v>
      </c>
      <c r="R40" s="36" t="s">
        <v>14</v>
      </c>
      <c r="S40" s="125">
        <v>5.5E-2</v>
      </c>
      <c r="T40" s="29">
        <f>IF(Inputs!$D$21="Y",$B$6*S40,0)</f>
        <v>22</v>
      </c>
      <c r="U40" s="42">
        <f>T40*$B$7/2000</f>
        <v>41.192800000000005</v>
      </c>
      <c r="V40" s="28" t="s">
        <v>14</v>
      </c>
      <c r="W40" s="125">
        <v>5.5E-2</v>
      </c>
      <c r="X40" s="29">
        <f>IF(OR(Inputs!$D$22="Y",Inputs!$D$23="Y",Inputs!$D$24="Y",Inputs!$D$25="Y"),$B$6*W40,0)</f>
        <v>22</v>
      </c>
      <c r="Y40" s="30">
        <f>X40*$B$7/2000</f>
        <v>41.192800000000005</v>
      </c>
    </row>
    <row r="41" spans="1:25" ht="13.5" thickBot="1" x14ac:dyDescent="0.25">
      <c r="A41" s="6"/>
      <c r="B41" s="31" t="s">
        <v>3</v>
      </c>
      <c r="C41" s="124">
        <v>0.13</v>
      </c>
      <c r="D41" s="32">
        <f>IF(Inputs!$D$20="Y",$B$6*C41,0)</f>
        <v>52</v>
      </c>
      <c r="E41" s="33">
        <f>D41*8760/2000</f>
        <v>227.76</v>
      </c>
      <c r="F41" s="38" t="s">
        <v>3</v>
      </c>
      <c r="G41" s="124">
        <v>0.13</v>
      </c>
      <c r="H41" s="32">
        <f>IF(Inputs!$D$21="Y",$B$6*G41,0)</f>
        <v>52</v>
      </c>
      <c r="I41" s="39">
        <f>H41*8760/2000</f>
        <v>227.76</v>
      </c>
      <c r="J41" s="31" t="s">
        <v>3</v>
      </c>
      <c r="K41" s="210">
        <v>0.13</v>
      </c>
      <c r="L41" s="32">
        <f>IF(OR(Inputs!$D$22="Y",Inputs!$D$23="Y",Inputs!$D$24="Y",Inputs!$D$25="Y"),$B$6*K41,0)</f>
        <v>52</v>
      </c>
      <c r="M41" s="33">
        <f>L41*8760/2000</f>
        <v>227.76</v>
      </c>
      <c r="N41" s="31" t="s">
        <v>3</v>
      </c>
      <c r="O41" s="124">
        <v>0.13</v>
      </c>
      <c r="P41" s="32">
        <f>IF(Inputs!$D$20="Y",$B$6*O41,0)</f>
        <v>52</v>
      </c>
      <c r="Q41" s="33">
        <f>P41*$B$7/2000</f>
        <v>97.364800000000002</v>
      </c>
      <c r="R41" s="38" t="s">
        <v>3</v>
      </c>
      <c r="S41" s="124">
        <v>0.13</v>
      </c>
      <c r="T41" s="32">
        <f>IF(Inputs!$D$21="Y",$B$6*S41,0)</f>
        <v>52</v>
      </c>
      <c r="U41" s="41">
        <f>T41*$B$7/2000</f>
        <v>97.364800000000002</v>
      </c>
      <c r="V41" s="31" t="s">
        <v>3</v>
      </c>
      <c r="W41" s="210">
        <v>0.13</v>
      </c>
      <c r="X41" s="32">
        <f>IF(OR(Inputs!$D$22="Y",Inputs!$D$23="Y",Inputs!$D$24="Y",Inputs!$D$25="Y"),$B$6*W41,0)</f>
        <v>52</v>
      </c>
      <c r="Y41" s="33">
        <f>X41*$B$7/2000</f>
        <v>97.364800000000002</v>
      </c>
    </row>
    <row r="42" spans="1:25" ht="13.5" thickTop="1" x14ac:dyDescent="0.2">
      <c r="A42" s="181"/>
      <c r="B42" s="63"/>
      <c r="C42" s="211"/>
      <c r="D42" s="212"/>
      <c r="E42" s="213"/>
      <c r="F42" s="63"/>
      <c r="G42" s="211"/>
      <c r="H42" s="212"/>
      <c r="I42" s="213"/>
      <c r="J42" s="63"/>
      <c r="K42" s="214"/>
      <c r="L42" s="212"/>
      <c r="M42" s="213"/>
      <c r="N42" s="63"/>
      <c r="O42" s="211"/>
      <c r="P42" s="212"/>
      <c r="Q42" s="213"/>
      <c r="R42" s="63"/>
      <c r="S42" s="211"/>
      <c r="T42" s="212"/>
      <c r="U42" s="213"/>
      <c r="V42" s="63"/>
      <c r="W42" s="214"/>
      <c r="X42" s="212"/>
      <c r="Y42" s="213"/>
    </row>
    <row r="43" spans="1:25" ht="13.5" thickBot="1" x14ac:dyDescent="0.25">
      <c r="A43" s="181"/>
      <c r="B43" s="63"/>
      <c r="C43" s="211"/>
      <c r="D43" s="212"/>
      <c r="E43" s="213"/>
      <c r="F43" s="63"/>
      <c r="G43" s="211"/>
      <c r="H43" s="212"/>
      <c r="I43" s="213"/>
      <c r="J43" s="63"/>
      <c r="K43" s="214"/>
      <c r="L43" s="212"/>
      <c r="M43" s="213"/>
      <c r="N43" s="63"/>
      <c r="O43" s="211"/>
      <c r="P43" s="212"/>
      <c r="Q43" s="213"/>
      <c r="R43" s="63"/>
      <c r="S43" s="211"/>
      <c r="T43" s="212"/>
      <c r="U43" s="213"/>
      <c r="V43" s="63"/>
      <c r="W43" s="214"/>
      <c r="X43" s="212"/>
      <c r="Y43" s="213"/>
    </row>
    <row r="44" spans="1:25" ht="14.25" thickTop="1" thickBot="1" x14ac:dyDescent="0.25">
      <c r="A44" s="4" t="s">
        <v>3</v>
      </c>
      <c r="B44" s="641" t="s">
        <v>362</v>
      </c>
      <c r="C44" s="638"/>
      <c r="D44" s="638"/>
      <c r="E44" s="639"/>
      <c r="F44" s="641" t="s">
        <v>358</v>
      </c>
      <c r="G44" s="638"/>
      <c r="H44" s="638"/>
      <c r="I44" s="642"/>
      <c r="J44" s="63"/>
      <c r="K44" s="214"/>
      <c r="L44" s="212"/>
      <c r="M44" s="213"/>
      <c r="N44" s="63"/>
      <c r="O44" s="211"/>
      <c r="P44" s="212"/>
      <c r="Q44" s="213"/>
      <c r="R44" s="63"/>
      <c r="S44" s="211"/>
      <c r="T44" s="212"/>
      <c r="U44" s="213"/>
      <c r="V44" s="63"/>
      <c r="W44" s="214"/>
      <c r="X44" s="212"/>
      <c r="Y44" s="213"/>
    </row>
    <row r="45" spans="1:25" x14ac:dyDescent="0.2">
      <c r="A45" s="5" t="s">
        <v>371</v>
      </c>
      <c r="B45" s="643" t="s">
        <v>4</v>
      </c>
      <c r="C45" s="23" t="s">
        <v>5</v>
      </c>
      <c r="D45" s="632" t="s">
        <v>8</v>
      </c>
      <c r="E45" s="640"/>
      <c r="F45" s="643" t="s">
        <v>4</v>
      </c>
      <c r="G45" s="23" t="s">
        <v>5</v>
      </c>
      <c r="H45" s="632" t="s">
        <v>8</v>
      </c>
      <c r="I45" s="633"/>
      <c r="J45" s="63"/>
      <c r="K45" s="214"/>
      <c r="L45" s="212"/>
      <c r="M45" s="213"/>
      <c r="N45" s="63"/>
      <c r="O45" s="211"/>
      <c r="P45" s="212"/>
      <c r="Q45" s="213"/>
      <c r="R45" s="63"/>
      <c r="S45" s="211"/>
      <c r="T45" s="212"/>
      <c r="U45" s="213"/>
      <c r="V45" s="63"/>
      <c r="W45" s="214"/>
      <c r="X45" s="212"/>
      <c r="Y45" s="213"/>
    </row>
    <row r="46" spans="1:25" ht="13.5" thickBot="1" x14ac:dyDescent="0.25">
      <c r="A46" s="5"/>
      <c r="B46" s="644"/>
      <c r="C46" s="24" t="s">
        <v>6</v>
      </c>
      <c r="D46" s="8" t="s">
        <v>9</v>
      </c>
      <c r="E46" s="22" t="s">
        <v>10</v>
      </c>
      <c r="F46" s="644"/>
      <c r="G46" s="24" t="s">
        <v>6</v>
      </c>
      <c r="H46" s="8" t="s">
        <v>9</v>
      </c>
      <c r="I46" s="10" t="s">
        <v>10</v>
      </c>
      <c r="J46" s="63"/>
      <c r="K46" s="214"/>
      <c r="L46" s="212"/>
      <c r="M46" s="213"/>
      <c r="N46" s="63"/>
      <c r="O46" s="211"/>
      <c r="P46" s="212"/>
      <c r="Q46" s="213"/>
      <c r="R46" s="63"/>
      <c r="S46" s="211"/>
      <c r="T46" s="212"/>
      <c r="U46" s="213"/>
      <c r="V46" s="63"/>
      <c r="W46" s="214"/>
      <c r="X46" s="212"/>
      <c r="Y46" s="213"/>
    </row>
    <row r="47" spans="1:25" x14ac:dyDescent="0.2">
      <c r="A47" s="5"/>
      <c r="B47" s="339" t="s">
        <v>3</v>
      </c>
      <c r="C47" s="340">
        <v>0.13</v>
      </c>
      <c r="D47" s="341">
        <f>$B$6*C47</f>
        <v>52</v>
      </c>
      <c r="E47" s="343">
        <f>D47*8760/2000</f>
        <v>227.76</v>
      </c>
      <c r="F47" s="339" t="s">
        <v>3</v>
      </c>
      <c r="G47" s="340">
        <v>0.13</v>
      </c>
      <c r="H47" s="341">
        <f>$B$6*G47</f>
        <v>52</v>
      </c>
      <c r="I47" s="342">
        <f>H47*$B$7/2000</f>
        <v>97.364800000000002</v>
      </c>
      <c r="J47" s="63"/>
      <c r="K47" s="214"/>
      <c r="L47" s="212"/>
      <c r="M47" s="213"/>
      <c r="N47" s="63"/>
      <c r="O47" s="211"/>
      <c r="P47" s="212"/>
      <c r="Q47" s="213"/>
      <c r="R47" s="63"/>
      <c r="S47" s="211"/>
      <c r="T47" s="212"/>
      <c r="U47" s="213"/>
      <c r="V47" s="63"/>
      <c r="W47" s="214"/>
      <c r="X47" s="212"/>
      <c r="Y47" s="213"/>
    </row>
    <row r="48" spans="1:25" x14ac:dyDescent="0.2">
      <c r="A48" s="181"/>
      <c r="B48" s="63"/>
      <c r="C48" s="211"/>
      <c r="D48" s="212"/>
      <c r="E48" s="213"/>
      <c r="F48" s="63"/>
      <c r="G48" s="211"/>
      <c r="H48" s="212"/>
      <c r="I48" s="213"/>
      <c r="J48" s="63"/>
      <c r="K48" s="214"/>
      <c r="L48" s="212"/>
      <c r="M48" s="213"/>
      <c r="N48" s="63"/>
      <c r="O48" s="211"/>
      <c r="P48" s="212"/>
      <c r="Q48" s="213"/>
      <c r="R48" s="63"/>
      <c r="S48" s="211"/>
      <c r="T48" s="212"/>
      <c r="U48" s="213"/>
      <c r="V48" s="63"/>
      <c r="W48" s="214"/>
      <c r="X48" s="212"/>
      <c r="Y48" s="213"/>
    </row>
    <row r="49" spans="1:25" ht="13.5" thickBot="1" x14ac:dyDescent="0.25">
      <c r="A49" s="181"/>
      <c r="B49" s="63"/>
      <c r="C49" s="211"/>
      <c r="D49" s="212"/>
      <c r="E49" s="213"/>
      <c r="F49" s="63"/>
      <c r="G49" s="211"/>
      <c r="H49" s="212"/>
      <c r="I49" s="213"/>
      <c r="J49" s="63"/>
      <c r="K49" s="214"/>
      <c r="L49" s="212"/>
      <c r="M49" s="213"/>
      <c r="N49" s="63"/>
      <c r="O49" s="211"/>
      <c r="P49" s="212"/>
      <c r="Q49" s="213"/>
      <c r="R49" s="63"/>
      <c r="S49" s="211"/>
      <c r="T49" s="212"/>
      <c r="U49" s="213"/>
      <c r="V49" s="63"/>
      <c r="W49" s="214"/>
      <c r="X49" s="212"/>
      <c r="Y49" s="213"/>
    </row>
    <row r="50" spans="1:25" ht="14.25" thickTop="1" thickBot="1" x14ac:dyDescent="0.25">
      <c r="A50" s="349" t="s">
        <v>15</v>
      </c>
      <c r="B50" s="641" t="s">
        <v>362</v>
      </c>
      <c r="C50" s="638"/>
      <c r="D50" s="638"/>
      <c r="E50" s="639"/>
      <c r="F50" s="641" t="s">
        <v>358</v>
      </c>
      <c r="G50" s="638"/>
      <c r="H50" s="638"/>
      <c r="I50" s="642"/>
      <c r="J50" s="63"/>
      <c r="K50" s="214"/>
      <c r="L50" s="212"/>
      <c r="M50" s="213"/>
      <c r="N50" s="63"/>
      <c r="O50" s="211"/>
      <c r="P50" s="212"/>
      <c r="Q50" s="213"/>
      <c r="R50" s="63"/>
      <c r="S50" s="211"/>
      <c r="T50" s="212"/>
      <c r="U50" s="213"/>
      <c r="V50" s="63"/>
      <c r="W50" s="214"/>
      <c r="X50" s="212"/>
      <c r="Y50" s="213"/>
    </row>
    <row r="51" spans="1:25" x14ac:dyDescent="0.2">
      <c r="A51" s="5" t="s">
        <v>21</v>
      </c>
      <c r="B51" s="643" t="s">
        <v>4</v>
      </c>
      <c r="C51" s="23" t="s">
        <v>5</v>
      </c>
      <c r="D51" s="632" t="s">
        <v>8</v>
      </c>
      <c r="E51" s="640"/>
      <c r="F51" s="643" t="s">
        <v>4</v>
      </c>
      <c r="G51" s="23" t="s">
        <v>5</v>
      </c>
      <c r="H51" s="632" t="s">
        <v>8</v>
      </c>
      <c r="I51" s="633"/>
      <c r="J51" s="63"/>
      <c r="K51" s="214"/>
      <c r="L51" s="212"/>
      <c r="M51" s="213"/>
      <c r="N51" s="63"/>
      <c r="O51" s="211"/>
      <c r="P51" s="212"/>
      <c r="Q51" s="213"/>
      <c r="R51" s="63"/>
      <c r="S51" s="211"/>
      <c r="T51" s="212"/>
      <c r="U51" s="213"/>
      <c r="V51" s="63"/>
      <c r="W51" s="214"/>
      <c r="X51" s="212"/>
      <c r="Y51" s="213"/>
    </row>
    <row r="52" spans="1:25" ht="13.5" thickBot="1" x14ac:dyDescent="0.25">
      <c r="A52" s="5"/>
      <c r="B52" s="644"/>
      <c r="C52" s="24" t="s">
        <v>6</v>
      </c>
      <c r="D52" s="8" t="s">
        <v>9</v>
      </c>
      <c r="E52" s="22" t="s">
        <v>10</v>
      </c>
      <c r="F52" s="644"/>
      <c r="G52" s="24" t="s">
        <v>6</v>
      </c>
      <c r="H52" s="8" t="s">
        <v>9</v>
      </c>
      <c r="I52" s="10" t="s">
        <v>10</v>
      </c>
      <c r="J52" s="63"/>
      <c r="K52" s="214"/>
      <c r="L52" s="212"/>
      <c r="M52" s="213"/>
      <c r="N52" s="63"/>
      <c r="O52" s="211"/>
      <c r="P52" s="212"/>
      <c r="Q52" s="213"/>
      <c r="R52" s="63"/>
      <c r="S52" s="211"/>
      <c r="T52" s="212"/>
      <c r="U52" s="213"/>
      <c r="V52" s="63"/>
      <c r="W52" s="214"/>
      <c r="X52" s="212"/>
      <c r="Y52" s="213"/>
    </row>
    <row r="53" spans="1:25" ht="13.5" thickBot="1" x14ac:dyDescent="0.25">
      <c r="A53" s="6"/>
      <c r="B53" s="417" t="s">
        <v>15</v>
      </c>
      <c r="C53" s="418">
        <v>3.2000000000000001E-2</v>
      </c>
      <c r="D53" s="419">
        <f>$B$6*C53</f>
        <v>12.8</v>
      </c>
      <c r="E53" s="420">
        <f>D53*8760/2000</f>
        <v>56.064</v>
      </c>
      <c r="F53" s="417" t="s">
        <v>15</v>
      </c>
      <c r="G53" s="418">
        <v>3.2000000000000001E-2</v>
      </c>
      <c r="H53" s="419">
        <f>$B$6*G53</f>
        <v>12.8</v>
      </c>
      <c r="I53" s="421">
        <f>H53*$B$7/2000</f>
        <v>23.966720000000002</v>
      </c>
      <c r="J53" s="63"/>
      <c r="K53" s="214"/>
      <c r="L53" s="212"/>
      <c r="M53" s="213"/>
      <c r="N53" s="63"/>
      <c r="O53" s="211"/>
      <c r="P53" s="212"/>
      <c r="Q53" s="213"/>
      <c r="R53" s="63"/>
      <c r="S53" s="211"/>
      <c r="T53" s="212"/>
      <c r="U53" s="213"/>
      <c r="V53" s="63"/>
      <c r="W53" s="214"/>
      <c r="X53" s="212"/>
      <c r="Y53" s="213"/>
    </row>
    <row r="54" spans="1:25" ht="13.5" thickTop="1" x14ac:dyDescent="0.2">
      <c r="A54" s="181"/>
      <c r="B54" s="63"/>
      <c r="C54" s="211"/>
      <c r="D54" s="212"/>
      <c r="E54" s="213"/>
      <c r="F54" s="63"/>
      <c r="G54" s="211"/>
      <c r="H54" s="212"/>
      <c r="I54" s="213"/>
      <c r="J54" s="63"/>
      <c r="K54" s="214"/>
      <c r="L54" s="212"/>
      <c r="M54" s="213"/>
      <c r="N54" s="63"/>
      <c r="O54" s="211"/>
      <c r="P54" s="212"/>
      <c r="Q54" s="213"/>
      <c r="R54" s="63"/>
      <c r="S54" s="211"/>
      <c r="T54" s="212"/>
      <c r="U54" s="213"/>
      <c r="V54" s="63"/>
      <c r="W54" s="214"/>
      <c r="X54" s="212"/>
      <c r="Y54" s="213"/>
    </row>
    <row r="55" spans="1:25" ht="13.5" thickBot="1" x14ac:dyDescent="0.25"/>
    <row r="56" spans="1:25" ht="13.5" thickTop="1" x14ac:dyDescent="0.2">
      <c r="A56" s="4" t="s">
        <v>158</v>
      </c>
      <c r="B56" s="641" t="s">
        <v>362</v>
      </c>
      <c r="C56" s="638"/>
      <c r="D56" s="638"/>
      <c r="E56" s="638"/>
      <c r="F56" s="638"/>
      <c r="G56" s="638"/>
      <c r="H56" s="638"/>
      <c r="I56" s="639"/>
      <c r="J56" s="641" t="s">
        <v>358</v>
      </c>
      <c r="K56" s="638"/>
      <c r="L56" s="638"/>
      <c r="M56" s="638"/>
      <c r="N56" s="638"/>
      <c r="O56" s="638"/>
      <c r="P56" s="638"/>
      <c r="Q56" s="642"/>
    </row>
    <row r="57" spans="1:25" ht="13.5" thickBot="1" x14ac:dyDescent="0.25">
      <c r="A57" s="5" t="s">
        <v>172</v>
      </c>
      <c r="B57" s="613" t="s">
        <v>20</v>
      </c>
      <c r="C57" s="657"/>
      <c r="D57" s="657"/>
      <c r="E57" s="658"/>
      <c r="F57" s="613" t="s">
        <v>372</v>
      </c>
      <c r="G57" s="657"/>
      <c r="H57" s="657"/>
      <c r="I57" s="658"/>
      <c r="J57" s="613" t="s">
        <v>20</v>
      </c>
      <c r="K57" s="657"/>
      <c r="L57" s="657"/>
      <c r="M57" s="658"/>
      <c r="N57" s="613" t="s">
        <v>372</v>
      </c>
      <c r="O57" s="657"/>
      <c r="P57" s="657"/>
      <c r="Q57" s="659"/>
    </row>
    <row r="58" spans="1:25" x14ac:dyDescent="0.2">
      <c r="A58" s="5" t="s">
        <v>173</v>
      </c>
      <c r="B58" s="643" t="s">
        <v>4</v>
      </c>
      <c r="C58" s="23" t="s">
        <v>5</v>
      </c>
      <c r="D58" s="632" t="s">
        <v>8</v>
      </c>
      <c r="E58" s="640"/>
      <c r="F58" s="643" t="s">
        <v>4</v>
      </c>
      <c r="G58" s="23" t="s">
        <v>5</v>
      </c>
      <c r="H58" s="632" t="s">
        <v>8</v>
      </c>
      <c r="I58" s="660"/>
      <c r="J58" s="643" t="s">
        <v>4</v>
      </c>
      <c r="K58" s="23" t="s">
        <v>5</v>
      </c>
      <c r="L58" s="632" t="s">
        <v>8</v>
      </c>
      <c r="M58" s="640"/>
      <c r="N58" s="643" t="s">
        <v>4</v>
      </c>
      <c r="O58" s="23" t="s">
        <v>5</v>
      </c>
      <c r="P58" s="632" t="s">
        <v>8</v>
      </c>
      <c r="Q58" s="633"/>
    </row>
    <row r="59" spans="1:25" ht="13.5" thickBot="1" x14ac:dyDescent="0.25">
      <c r="A59" s="5"/>
      <c r="B59" s="644"/>
      <c r="C59" s="24" t="s">
        <v>6</v>
      </c>
      <c r="D59" s="8" t="s">
        <v>9</v>
      </c>
      <c r="E59" s="22" t="s">
        <v>10</v>
      </c>
      <c r="F59" s="644"/>
      <c r="G59" s="24" t="s">
        <v>6</v>
      </c>
      <c r="H59" s="8" t="s">
        <v>9</v>
      </c>
      <c r="I59" s="9" t="s">
        <v>10</v>
      </c>
      <c r="J59" s="644"/>
      <c r="K59" s="24" t="s">
        <v>6</v>
      </c>
      <c r="L59" s="8" t="s">
        <v>9</v>
      </c>
      <c r="M59" s="22" t="s">
        <v>10</v>
      </c>
      <c r="N59" s="644"/>
      <c r="O59" s="24" t="s">
        <v>6</v>
      </c>
      <c r="P59" s="8" t="s">
        <v>9</v>
      </c>
      <c r="Q59" s="10" t="s">
        <v>10</v>
      </c>
    </row>
    <row r="60" spans="1:25" ht="13.5" thickBot="1" x14ac:dyDescent="0.25">
      <c r="A60" s="6"/>
      <c r="B60" s="31" t="s">
        <v>158</v>
      </c>
      <c r="C60" s="126">
        <v>6.1999999999999999E-7</v>
      </c>
      <c r="D60" s="32">
        <f>IF(Inputs!$D$20="Y",$B$6*C60,0)</f>
        <v>2.4800000000000001E-4</v>
      </c>
      <c r="E60" s="33">
        <f>D60*8760/2000</f>
        <v>1.08624E-3</v>
      </c>
      <c r="F60" s="38" t="s">
        <v>158</v>
      </c>
      <c r="G60" s="126">
        <v>1.5E-5</v>
      </c>
      <c r="H60" s="32">
        <f>IF(OR(Inputs!$D$21="Y",Inputs!$D$22="Y",Inputs!$D$23="Y",Inputs!$D$24="Y",Inputs!$D$25="Y"),$B$6*G60,0)</f>
        <v>6.0000000000000001E-3</v>
      </c>
      <c r="I60" s="39">
        <f>H60*8760/2000</f>
        <v>2.6280000000000001E-2</v>
      </c>
      <c r="J60" s="31" t="s">
        <v>158</v>
      </c>
      <c r="K60" s="126">
        <v>6.1999999999999999E-7</v>
      </c>
      <c r="L60" s="32">
        <f>IF(Inputs!$D$20="Y",$B$6*K60,0)</f>
        <v>2.4800000000000001E-4</v>
      </c>
      <c r="M60" s="33">
        <f>L60*$B$7/2000</f>
        <v>4.6435520000000002E-4</v>
      </c>
      <c r="N60" s="38" t="s">
        <v>158</v>
      </c>
      <c r="O60" s="126">
        <v>1.5E-5</v>
      </c>
      <c r="P60" s="32">
        <f>IF(OR(Inputs!$D$21="Y",Inputs!$D$22="Y",Inputs!$D$23="Y",Inputs!$D$24="Y",Inputs!$D$25="Y"),$B$6*O60,0)</f>
        <v>6.0000000000000001E-3</v>
      </c>
      <c r="Q60" s="41">
        <f>P60*$B$7/2000</f>
        <v>1.12344E-2</v>
      </c>
    </row>
    <row r="61" spans="1:25" ht="13.5" thickTop="1" x14ac:dyDescent="0.2">
      <c r="C61" s="67"/>
    </row>
    <row r="63" spans="1:25" x14ac:dyDescent="0.2">
      <c r="C63" s="65"/>
    </row>
  </sheetData>
  <mergeCells count="65">
    <mergeCell ref="A1:K1"/>
    <mergeCell ref="A2:K2"/>
    <mergeCell ref="H23:I23"/>
    <mergeCell ref="R35:Y35"/>
    <mergeCell ref="F29:I29"/>
    <mergeCell ref="A3:K3"/>
    <mergeCell ref="C9:G9"/>
    <mergeCell ref="C10:C11"/>
    <mergeCell ref="F10:G10"/>
    <mergeCell ref="D10:E10"/>
    <mergeCell ref="B22:E22"/>
    <mergeCell ref="F22:I22"/>
    <mergeCell ref="V36:Y36"/>
    <mergeCell ref="N36:Q36"/>
    <mergeCell ref="R36:U36"/>
    <mergeCell ref="D23:E23"/>
    <mergeCell ref="B23:B24"/>
    <mergeCell ref="F23:F24"/>
    <mergeCell ref="V37:V38"/>
    <mergeCell ref="B29:E29"/>
    <mergeCell ref="P37:Q37"/>
    <mergeCell ref="B30:B31"/>
    <mergeCell ref="D30:E30"/>
    <mergeCell ref="F30:F31"/>
    <mergeCell ref="H30:I30"/>
    <mergeCell ref="F37:F38"/>
    <mergeCell ref="D37:E37"/>
    <mergeCell ref="B35:M35"/>
    <mergeCell ref="X37:Y37"/>
    <mergeCell ref="B36:E36"/>
    <mergeCell ref="F36:I36"/>
    <mergeCell ref="N37:N38"/>
    <mergeCell ref="H37:I37"/>
    <mergeCell ref="R37:R38"/>
    <mergeCell ref="T37:U37"/>
    <mergeCell ref="J36:M36"/>
    <mergeCell ref="J37:J38"/>
    <mergeCell ref="B37:B38"/>
    <mergeCell ref="B51:B52"/>
    <mergeCell ref="D51:E51"/>
    <mergeCell ref="F51:F52"/>
    <mergeCell ref="H51:I51"/>
    <mergeCell ref="B56:I56"/>
    <mergeCell ref="J56:Q56"/>
    <mergeCell ref="B58:B59"/>
    <mergeCell ref="D58:E58"/>
    <mergeCell ref="F58:F59"/>
    <mergeCell ref="H58:I58"/>
    <mergeCell ref="B57:E57"/>
    <mergeCell ref="F57:I57"/>
    <mergeCell ref="J57:M57"/>
    <mergeCell ref="N57:Q57"/>
    <mergeCell ref="J58:J59"/>
    <mergeCell ref="L58:M58"/>
    <mergeCell ref="N58:N59"/>
    <mergeCell ref="P58:Q58"/>
    <mergeCell ref="L37:M37"/>
    <mergeCell ref="B50:E50"/>
    <mergeCell ref="F50:I50"/>
    <mergeCell ref="F44:I44"/>
    <mergeCell ref="H45:I45"/>
    <mergeCell ref="B44:E44"/>
    <mergeCell ref="B45:B46"/>
    <mergeCell ref="D45:E45"/>
    <mergeCell ref="F45:F46"/>
  </mergeCells>
  <phoneticPr fontId="3" type="noConversion"/>
  <pageMargins left="0.75" right="0.75" top="1" bottom="1" header="0.5" footer="0.5"/>
  <pageSetup scale="67" orientation="portrait" r:id="rId1"/>
  <headerFooter alignWithMargins="0">
    <oddHeader>&amp;RDrum - Prod.Crit - &amp;D</oddHeader>
  </headerFooter>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314A-9160-47BC-B03B-A9FE63BE7E89}">
  <sheetPr codeName="Sheet7">
    <tabColor indexed="8"/>
  </sheetPr>
  <dimension ref="A1:AO126"/>
  <sheetViews>
    <sheetView zoomScaleNormal="100" workbookViewId="0">
      <selection activeCell="A2" sqref="A2:J2"/>
    </sheetView>
  </sheetViews>
  <sheetFormatPr defaultRowHeight="12.75" x14ac:dyDescent="0.2"/>
  <cols>
    <col min="1" max="1" width="17.5703125" bestFit="1" customWidth="1"/>
    <col min="2" max="2" width="9.5703125" customWidth="1"/>
    <col min="3" max="3" width="4.7109375" customWidth="1"/>
    <col min="4" max="4" width="4.5703125" bestFit="1" customWidth="1"/>
    <col min="5" max="5" width="5.28515625" bestFit="1" customWidth="1"/>
    <col min="6" max="6" width="20.140625" bestFit="1" customWidth="1"/>
    <col min="7" max="7" width="14.7109375" customWidth="1"/>
    <col min="8" max="8" width="12" bestFit="1" customWidth="1"/>
    <col min="9" max="9" width="9.85546875" customWidth="1"/>
    <col min="10" max="10" width="4.85546875" bestFit="1" customWidth="1"/>
    <col min="11" max="11" width="4.5703125" bestFit="1" customWidth="1"/>
    <col min="12" max="12" width="5.28515625" bestFit="1" customWidth="1"/>
    <col min="13" max="13" width="29.85546875" bestFit="1" customWidth="1"/>
    <col min="14" max="14" width="14.5703125" customWidth="1"/>
    <col min="15" max="15" width="11" bestFit="1" customWidth="1"/>
    <col min="17" max="19" width="5.42578125" customWidth="1"/>
    <col min="20" max="20" width="29.85546875" bestFit="1" customWidth="1"/>
    <col min="21" max="21" width="14.7109375" bestFit="1" customWidth="1"/>
    <col min="22" max="22" width="10.42578125" bestFit="1" customWidth="1"/>
    <col min="25" max="25" width="29.140625" bestFit="1" customWidth="1"/>
    <col min="26" max="26" width="31.7109375" customWidth="1"/>
    <col min="27" max="27" width="42.85546875" customWidth="1"/>
  </cols>
  <sheetData>
    <row r="1" spans="1:15" ht="20.25" x14ac:dyDescent="0.3">
      <c r="A1" s="598" t="s">
        <v>509</v>
      </c>
      <c r="B1" s="598"/>
      <c r="C1" s="598"/>
      <c r="D1" s="598"/>
      <c r="E1" s="598"/>
      <c r="F1" s="598"/>
      <c r="G1" s="598"/>
      <c r="H1" s="598"/>
      <c r="I1" s="598"/>
      <c r="J1" s="598"/>
      <c r="K1" s="466"/>
      <c r="L1" s="466"/>
      <c r="M1" s="466"/>
      <c r="N1" s="466"/>
      <c r="O1" s="466"/>
    </row>
    <row r="2" spans="1:15" x14ac:dyDescent="0.2">
      <c r="A2" s="599">
        <v>40876</v>
      </c>
      <c r="B2" s="599"/>
      <c r="C2" s="599"/>
      <c r="D2" s="599"/>
      <c r="E2" s="599"/>
      <c r="F2" s="599"/>
      <c r="G2" s="599"/>
      <c r="H2" s="599"/>
      <c r="I2" s="599"/>
      <c r="J2" s="599"/>
      <c r="K2" s="467"/>
      <c r="L2" s="467"/>
      <c r="M2" s="467"/>
      <c r="N2" s="467"/>
      <c r="O2" s="467"/>
    </row>
    <row r="3" spans="1:15" ht="51" customHeight="1" x14ac:dyDescent="0.2">
      <c r="A3" s="606" t="s">
        <v>522</v>
      </c>
      <c r="B3" s="606"/>
      <c r="C3" s="606"/>
      <c r="D3" s="606"/>
      <c r="E3" s="606"/>
      <c r="F3" s="606"/>
      <c r="G3" s="606"/>
      <c r="H3" s="606"/>
      <c r="I3" s="606"/>
      <c r="J3" s="606"/>
      <c r="K3" s="467"/>
      <c r="L3" s="467"/>
      <c r="M3" s="467"/>
      <c r="N3" s="467"/>
      <c r="O3" s="467"/>
    </row>
    <row r="5" spans="1:15" x14ac:dyDescent="0.2">
      <c r="B5" s="1" t="s">
        <v>240</v>
      </c>
      <c r="G5" s="146" t="s">
        <v>255</v>
      </c>
    </row>
    <row r="6" spans="1:15" x14ac:dyDescent="0.2">
      <c r="B6" s="146">
        <f>Inputs!D16</f>
        <v>400</v>
      </c>
      <c r="C6" t="s">
        <v>0</v>
      </c>
      <c r="G6" s="3" t="s">
        <v>22</v>
      </c>
    </row>
    <row r="7" spans="1:15" x14ac:dyDescent="0.2">
      <c r="B7" s="46"/>
      <c r="G7" t="s">
        <v>353</v>
      </c>
    </row>
    <row r="8" spans="1:15" ht="13.5" thickBot="1" x14ac:dyDescent="0.25">
      <c r="B8" s="46"/>
      <c r="M8" s="3"/>
    </row>
    <row r="9" spans="1:15" ht="13.5" thickTop="1" x14ac:dyDescent="0.2">
      <c r="A9" s="1" t="s">
        <v>11</v>
      </c>
      <c r="B9" s="604" t="s">
        <v>75</v>
      </c>
      <c r="C9" s="655" t="s">
        <v>78</v>
      </c>
      <c r="D9" s="649" t="s">
        <v>79</v>
      </c>
      <c r="E9" s="648" t="s">
        <v>169</v>
      </c>
      <c r="F9" s="656" t="s">
        <v>4</v>
      </c>
      <c r="G9" s="105" t="s">
        <v>8</v>
      </c>
      <c r="M9" s="3"/>
    </row>
    <row r="10" spans="1:15" ht="13.5" thickBot="1" x14ac:dyDescent="0.25">
      <c r="B10" s="605"/>
      <c r="C10" s="619"/>
      <c r="D10" s="622"/>
      <c r="E10" s="625"/>
      <c r="F10" s="630"/>
      <c r="G10" s="93" t="s">
        <v>9</v>
      </c>
      <c r="M10" s="3"/>
    </row>
    <row r="11" spans="1:15" x14ac:dyDescent="0.2">
      <c r="B11" s="11" t="s">
        <v>351</v>
      </c>
      <c r="C11" s="86" t="s">
        <v>99</v>
      </c>
      <c r="D11" s="86" t="s">
        <v>99</v>
      </c>
      <c r="E11" s="86"/>
      <c r="F11" s="104" t="s">
        <v>352</v>
      </c>
      <c r="G11" s="119">
        <f>IF(Inputs!$D$20="Y",IF(Inputs!$D$21="Y",O103,IF(OR(Inputs!$D$22="Y",Inputs!$D$23="Y",Inputs!$D$24="Y",Inputs!$D$25="Y"),O103,0)),O103)</f>
        <v>8.3999999999999994E-11</v>
      </c>
      <c r="M11" s="3"/>
    </row>
    <row r="12" spans="1:15" x14ac:dyDescent="0.2">
      <c r="B12" s="154" t="s">
        <v>186</v>
      </c>
      <c r="C12" s="88" t="s">
        <v>99</v>
      </c>
      <c r="D12" s="88"/>
      <c r="E12" s="88" t="s">
        <v>99</v>
      </c>
      <c r="F12" s="133" t="s">
        <v>212</v>
      </c>
      <c r="G12" s="120">
        <f>IF(Inputs!$D$20="Y",IF(Inputs!$D$21="Y",MAX(H85,O85),IF(OR(Inputs!$D$22="Y",Inputs!$D$23="Y",Inputs!$D$24="Y",Inputs!$D$25="Y"),MAX(H85,O85),H85)),O85)</f>
        <v>6.8000000000000005E-2</v>
      </c>
      <c r="M12" s="3"/>
    </row>
    <row r="13" spans="1:15" x14ac:dyDescent="0.2">
      <c r="B13" s="154" t="s">
        <v>187</v>
      </c>
      <c r="C13" s="88" t="s">
        <v>99</v>
      </c>
      <c r="D13" s="88"/>
      <c r="E13" s="88" t="s">
        <v>99</v>
      </c>
      <c r="F13" s="89" t="s">
        <v>213</v>
      </c>
      <c r="G13" s="120">
        <f>H86</f>
        <v>5.5999999999999995E-4</v>
      </c>
      <c r="M13" s="3"/>
    </row>
    <row r="14" spans="1:15" x14ac:dyDescent="0.2">
      <c r="B14" s="154" t="s">
        <v>188</v>
      </c>
      <c r="C14" s="88" t="s">
        <v>99</v>
      </c>
      <c r="D14" s="88"/>
      <c r="E14" s="88" t="s">
        <v>99</v>
      </c>
      <c r="F14" s="89" t="s">
        <v>214</v>
      </c>
      <c r="G14" s="120">
        <f>IF(Inputs!$D$20="Y",IF(Inputs!$D$21="Y",MAX(H87,O87),IF(OR(Inputs!$D$22="Y",Inputs!$D$23="Y",Inputs!$D$24="Y",Inputs!$D$25="Y"),MAX(H87,O87),H87)),O87)</f>
        <v>8.8000000000000005E-3</v>
      </c>
      <c r="M14" s="3"/>
    </row>
    <row r="15" spans="1:15" x14ac:dyDescent="0.2">
      <c r="B15" s="154" t="s">
        <v>395</v>
      </c>
      <c r="C15" s="88" t="s">
        <v>99</v>
      </c>
      <c r="D15" s="88" t="s">
        <v>99</v>
      </c>
      <c r="E15" s="88"/>
      <c r="F15" s="89" t="s">
        <v>402</v>
      </c>
      <c r="G15" s="120">
        <f>IF(OR(Inputs!$D$22="Y",Inputs!$D$23="Y",Inputs!$D$24="Y",Inputs!$D$25="Y"),V77,0)</f>
        <v>0.52</v>
      </c>
      <c r="M15" s="3"/>
    </row>
    <row r="16" spans="1:15" x14ac:dyDescent="0.2">
      <c r="B16" s="154" t="s">
        <v>396</v>
      </c>
      <c r="C16" s="88" t="s">
        <v>99</v>
      </c>
      <c r="D16" s="88" t="s">
        <v>99</v>
      </c>
      <c r="E16" s="88"/>
      <c r="F16" s="89" t="s">
        <v>403</v>
      </c>
      <c r="G16" s="120">
        <f>IF(OR(Inputs!$D$22="Y",Inputs!$D$23="Y",Inputs!$D$24="Y",Inputs!$D$25="Y"),V78,0)</f>
        <v>1.04E-2</v>
      </c>
      <c r="M16" s="3"/>
    </row>
    <row r="17" spans="2:13" x14ac:dyDescent="0.2">
      <c r="B17" s="154" t="s">
        <v>189</v>
      </c>
      <c r="C17" s="88" t="s">
        <v>99</v>
      </c>
      <c r="D17" s="88"/>
      <c r="E17" s="88" t="s">
        <v>99</v>
      </c>
      <c r="F17" s="89" t="s">
        <v>215</v>
      </c>
      <c r="G17" s="120">
        <f>IF(Inputs!$D$20="Y",IF(Inputs!$D$21="Y",MAX(H88,O88),IF(OR(Inputs!$D$22="Y",Inputs!$D$23="Y",Inputs!$D$24="Y",Inputs!$D$25="Y"),MAX(H88,O88),H88)),O88)</f>
        <v>1.24E-3</v>
      </c>
      <c r="M17" s="3"/>
    </row>
    <row r="18" spans="2:13" x14ac:dyDescent="0.2">
      <c r="B18" s="155" t="s">
        <v>174</v>
      </c>
      <c r="C18" s="88" t="s">
        <v>99</v>
      </c>
      <c r="D18" s="88" t="s">
        <v>99</v>
      </c>
      <c r="E18" s="88"/>
      <c r="F18" s="89" t="s">
        <v>155</v>
      </c>
      <c r="G18" s="120">
        <f>H62</f>
        <v>2.2400000000000002E-4</v>
      </c>
      <c r="M18" s="3"/>
    </row>
    <row r="19" spans="2:13" x14ac:dyDescent="0.2">
      <c r="B19" s="155" t="s">
        <v>161</v>
      </c>
      <c r="C19" s="88" t="s">
        <v>99</v>
      </c>
      <c r="D19" s="88" t="s">
        <v>99</v>
      </c>
      <c r="E19" s="88"/>
      <c r="F19" s="106" t="s">
        <v>209</v>
      </c>
      <c r="G19" s="120">
        <f>H77</f>
        <v>0.156</v>
      </c>
      <c r="M19" s="3"/>
    </row>
    <row r="20" spans="2:13" x14ac:dyDescent="0.2">
      <c r="B20" s="154" t="s">
        <v>190</v>
      </c>
      <c r="C20" s="88" t="s">
        <v>99</v>
      </c>
      <c r="D20" s="88"/>
      <c r="E20" s="88" t="s">
        <v>99</v>
      </c>
      <c r="F20" s="89" t="s">
        <v>216</v>
      </c>
      <c r="G20" s="120">
        <f t="shared" ref="G20:G25" si="0">H89</f>
        <v>8.3999999999999995E-5</v>
      </c>
      <c r="M20" s="3"/>
    </row>
    <row r="21" spans="2:13" x14ac:dyDescent="0.2">
      <c r="B21" s="154" t="s">
        <v>191</v>
      </c>
      <c r="C21" s="88" t="s">
        <v>99</v>
      </c>
      <c r="D21" s="88"/>
      <c r="E21" s="88" t="s">
        <v>99</v>
      </c>
      <c r="F21" s="89" t="s">
        <v>217</v>
      </c>
      <c r="G21" s="120">
        <f t="shared" si="0"/>
        <v>3.9199999999999997E-6</v>
      </c>
      <c r="M21" s="3"/>
    </row>
    <row r="22" spans="2:13" x14ac:dyDescent="0.2">
      <c r="B22" s="154" t="s">
        <v>192</v>
      </c>
      <c r="C22" s="88" t="s">
        <v>99</v>
      </c>
      <c r="D22" s="88"/>
      <c r="E22" s="88" t="s">
        <v>99</v>
      </c>
      <c r="F22" s="89" t="s">
        <v>218</v>
      </c>
      <c r="G22" s="120">
        <f t="shared" si="0"/>
        <v>3.9999999999999996E-5</v>
      </c>
      <c r="M22" s="3"/>
    </row>
    <row r="23" spans="2:13" x14ac:dyDescent="0.2">
      <c r="B23" s="154" t="s">
        <v>193</v>
      </c>
      <c r="C23" s="88"/>
      <c r="D23" s="88"/>
      <c r="E23" s="88" t="s">
        <v>99</v>
      </c>
      <c r="F23" s="89" t="s">
        <v>219</v>
      </c>
      <c r="G23" s="120">
        <f t="shared" si="0"/>
        <v>4.3999999999999999E-5</v>
      </c>
      <c r="M23" s="3"/>
    </row>
    <row r="24" spans="2:13" x14ac:dyDescent="0.2">
      <c r="B24" s="154" t="s">
        <v>194</v>
      </c>
      <c r="C24" s="88" t="s">
        <v>99</v>
      </c>
      <c r="D24" s="88"/>
      <c r="E24" s="88" t="s">
        <v>99</v>
      </c>
      <c r="F24" s="89" t="s">
        <v>220</v>
      </c>
      <c r="G24" s="120">
        <f t="shared" si="0"/>
        <v>1.5999999999999999E-5</v>
      </c>
      <c r="M24" s="3"/>
    </row>
    <row r="25" spans="2:13" x14ac:dyDescent="0.2">
      <c r="B25" s="154" t="s">
        <v>195</v>
      </c>
      <c r="C25" s="88" t="s">
        <v>99</v>
      </c>
      <c r="D25" s="88"/>
      <c r="E25" s="88" t="s">
        <v>99</v>
      </c>
      <c r="F25" s="89" t="s">
        <v>221</v>
      </c>
      <c r="G25" s="120">
        <f t="shared" si="0"/>
        <v>1.6400000000000002E-5</v>
      </c>
      <c r="M25" s="3"/>
    </row>
    <row r="26" spans="2:13" x14ac:dyDescent="0.2">
      <c r="B26" s="155" t="s">
        <v>176</v>
      </c>
      <c r="C26" s="88" t="s">
        <v>99</v>
      </c>
      <c r="D26" s="88" t="s">
        <v>99</v>
      </c>
      <c r="E26" s="88"/>
      <c r="F26" s="89" t="s">
        <v>157</v>
      </c>
      <c r="G26" s="120">
        <f>H63</f>
        <v>1.64E-4</v>
      </c>
      <c r="M26" s="3"/>
    </row>
    <row r="27" spans="2:13" x14ac:dyDescent="0.2">
      <c r="B27" s="176" t="s">
        <v>350</v>
      </c>
      <c r="C27" s="88" t="s">
        <v>99</v>
      </c>
      <c r="D27" s="88"/>
      <c r="E27" s="88"/>
      <c r="F27" s="89" t="s">
        <v>344</v>
      </c>
      <c r="G27" s="120">
        <f>H64</f>
        <v>2.2000000000000001E-3</v>
      </c>
      <c r="M27" s="3"/>
    </row>
    <row r="28" spans="2:13" x14ac:dyDescent="0.2">
      <c r="B28" s="154" t="s">
        <v>196</v>
      </c>
      <c r="C28" s="88" t="s">
        <v>99</v>
      </c>
      <c r="D28" s="88"/>
      <c r="E28" s="88" t="s">
        <v>99</v>
      </c>
      <c r="F28" s="89" t="s">
        <v>222</v>
      </c>
      <c r="G28" s="120">
        <f>H95</f>
        <v>7.2000000000000002E-5</v>
      </c>
      <c r="M28" s="3"/>
    </row>
    <row r="29" spans="2:13" x14ac:dyDescent="0.2">
      <c r="B29" s="176" t="s">
        <v>349</v>
      </c>
      <c r="C29" s="88" t="s">
        <v>99</v>
      </c>
      <c r="D29" s="88" t="s">
        <v>99</v>
      </c>
      <c r="E29" s="88"/>
      <c r="F29" s="89" t="s">
        <v>345</v>
      </c>
      <c r="G29" s="120">
        <f>H65</f>
        <v>1.04E-5</v>
      </c>
      <c r="M29" s="3"/>
    </row>
    <row r="30" spans="2:13" x14ac:dyDescent="0.2">
      <c r="B30" s="154"/>
      <c r="C30" s="88" t="s">
        <v>99</v>
      </c>
      <c r="D30" s="88"/>
      <c r="E30" s="88"/>
      <c r="F30" s="89" t="s">
        <v>243</v>
      </c>
      <c r="G30" s="120">
        <f>IF(Inputs!$D$20="Y",IF(Inputs!$D$21="Y",O104,IF(OR(Inputs!$D$22="Y",Inputs!$D$23="Y",Inputs!$D$24="Y",Inputs!$D$25="Y"),O104,0)),O104)</f>
        <v>3.1599999999999998E-8</v>
      </c>
      <c r="M30" s="3"/>
    </row>
    <row r="31" spans="2:13" x14ac:dyDescent="0.2">
      <c r="B31" s="154" t="s">
        <v>179</v>
      </c>
      <c r="C31" s="88" t="s">
        <v>99</v>
      </c>
      <c r="D31" s="88" t="s">
        <v>99</v>
      </c>
      <c r="E31" s="88"/>
      <c r="F31" s="89" t="s">
        <v>204</v>
      </c>
      <c r="G31" s="120">
        <f>H78</f>
        <v>9.6000000000000002E-2</v>
      </c>
      <c r="M31" s="3"/>
    </row>
    <row r="32" spans="2:13" x14ac:dyDescent="0.2">
      <c r="B32" s="154" t="s">
        <v>197</v>
      </c>
      <c r="C32" s="88" t="s">
        <v>99</v>
      </c>
      <c r="D32" s="88"/>
      <c r="E32" s="88" t="s">
        <v>99</v>
      </c>
      <c r="F32" s="89" t="s">
        <v>223</v>
      </c>
      <c r="G32" s="120">
        <f>H96</f>
        <v>2.4399999999999999E-4</v>
      </c>
      <c r="M32" s="3"/>
    </row>
    <row r="33" spans="2:13" x14ac:dyDescent="0.2">
      <c r="B33" s="154" t="s">
        <v>198</v>
      </c>
      <c r="C33" s="88" t="s">
        <v>99</v>
      </c>
      <c r="D33" s="88"/>
      <c r="E33" s="88" t="s">
        <v>99</v>
      </c>
      <c r="F33" s="89" t="s">
        <v>224</v>
      </c>
      <c r="G33" s="120">
        <f>IF(Inputs!$D$20="Y",IF(Inputs!$D$21="Y",MAX(H97,O97),IF(OR(Inputs!$D$22="Y",Inputs!$D$23="Y",Inputs!$D$24="Y",Inputs!$D$25="Y"),MAX(H97,O97),H97)),O97)</f>
        <v>4.4000000000000003E-3</v>
      </c>
      <c r="M33" s="3"/>
    </row>
    <row r="34" spans="2:13" x14ac:dyDescent="0.2">
      <c r="B34" s="154" t="s">
        <v>180</v>
      </c>
      <c r="C34" s="88" t="s">
        <v>99</v>
      </c>
      <c r="D34" s="88" t="s">
        <v>99</v>
      </c>
      <c r="E34" s="88"/>
      <c r="F34" s="89" t="s">
        <v>210</v>
      </c>
      <c r="G34" s="120">
        <f>H79</f>
        <v>1.24</v>
      </c>
      <c r="M34" s="3"/>
    </row>
    <row r="35" spans="2:13" x14ac:dyDescent="0.2">
      <c r="B35" s="154"/>
      <c r="C35" s="88" t="s">
        <v>99</v>
      </c>
      <c r="D35" s="88"/>
      <c r="E35" s="88"/>
      <c r="F35" s="89" t="s">
        <v>241</v>
      </c>
      <c r="G35" s="120">
        <f>IF(Inputs!$D$20="Y",IF(Inputs!$D$21="Y",O105,IF(OR(Inputs!$D$22="Y",Inputs!$D$23="Y",Inputs!$D$24="Y",Inputs!$D$25="Y"),O105,0)),O105)</f>
        <v>1.5999999999999998E-8</v>
      </c>
      <c r="M35" s="3"/>
    </row>
    <row r="36" spans="2:13" x14ac:dyDescent="0.2">
      <c r="B36" s="154" t="s">
        <v>181</v>
      </c>
      <c r="C36" s="88" t="s">
        <v>99</v>
      </c>
      <c r="D36" s="88" t="s">
        <v>99</v>
      </c>
      <c r="E36" s="88"/>
      <c r="F36" s="89" t="s">
        <v>205</v>
      </c>
      <c r="G36" s="120">
        <f>H80</f>
        <v>0.36799999999999999</v>
      </c>
      <c r="M36" s="3"/>
    </row>
    <row r="37" spans="2:13" x14ac:dyDescent="0.2">
      <c r="B37" s="155" t="s">
        <v>347</v>
      </c>
      <c r="C37" s="88" t="s">
        <v>99</v>
      </c>
      <c r="D37" s="88" t="s">
        <v>99</v>
      </c>
      <c r="E37" s="88"/>
      <c r="F37" s="89" t="s">
        <v>154</v>
      </c>
      <c r="G37" s="120">
        <f>H66</f>
        <v>1.7999999999999998E-4</v>
      </c>
      <c r="M37" s="3"/>
    </row>
    <row r="38" spans="2:13" x14ac:dyDescent="0.2">
      <c r="B38" s="155" t="s">
        <v>469</v>
      </c>
      <c r="C38" s="88" t="s">
        <v>99</v>
      </c>
      <c r="D38" s="88" t="s">
        <v>99</v>
      </c>
      <c r="E38" s="88"/>
      <c r="F38" s="89" t="s">
        <v>470</v>
      </c>
      <c r="G38" s="120">
        <f>IF(OR(Inputs!$D$22="Y",Inputs!$D$23="Y",Inputs!$D$24="Y",Inputs!$D$25="Y"),H110,0)</f>
        <v>8.4000000000000005E-2</v>
      </c>
      <c r="M38" s="3"/>
    </row>
    <row r="39" spans="2:13" x14ac:dyDescent="0.2">
      <c r="B39" s="154" t="s">
        <v>199</v>
      </c>
      <c r="C39" s="88" t="s">
        <v>99</v>
      </c>
      <c r="D39" s="88"/>
      <c r="E39" s="88" t="s">
        <v>99</v>
      </c>
      <c r="F39" s="89" t="s">
        <v>225</v>
      </c>
      <c r="G39" s="120">
        <f>H98</f>
        <v>2.7999999999999999E-6</v>
      </c>
      <c r="M39" s="3"/>
    </row>
    <row r="40" spans="2:13" x14ac:dyDescent="0.2">
      <c r="B40" s="154" t="s">
        <v>182</v>
      </c>
      <c r="C40" s="88" t="s">
        <v>99</v>
      </c>
      <c r="D40" s="88" t="s">
        <v>99</v>
      </c>
      <c r="E40" s="88"/>
      <c r="F40" s="89" t="s">
        <v>330</v>
      </c>
      <c r="G40" s="120">
        <f>H81</f>
        <v>1.6E-2</v>
      </c>
      <c r="M40" s="3"/>
    </row>
    <row r="41" spans="2:13" x14ac:dyDescent="0.2">
      <c r="B41" s="154" t="s">
        <v>422</v>
      </c>
      <c r="C41" s="88" t="s">
        <v>99</v>
      </c>
      <c r="D41" s="88" t="s">
        <v>99</v>
      </c>
      <c r="E41" s="88"/>
      <c r="F41" s="89" t="s">
        <v>423</v>
      </c>
      <c r="G41" s="120">
        <f>MAX(H67,O67)</f>
        <v>3.0800000000000003E-3</v>
      </c>
      <c r="M41" s="3"/>
    </row>
    <row r="42" spans="2:13" x14ac:dyDescent="0.2">
      <c r="B42" s="154" t="s">
        <v>318</v>
      </c>
      <c r="C42" s="88"/>
      <c r="D42" s="88" t="s">
        <v>99</v>
      </c>
      <c r="E42" s="88"/>
      <c r="F42" s="89" t="s">
        <v>399</v>
      </c>
      <c r="G42" s="120">
        <f>IF(OR(Inputs!$D$22="Y",Inputs!$D$23="Y",Inputs!$D$24="Y",Inputs!$D$25="Y"),V79,0)</f>
        <v>8.0000000000000002E-3</v>
      </c>
      <c r="M42" s="3"/>
    </row>
    <row r="43" spans="2:13" x14ac:dyDescent="0.2">
      <c r="B43" s="155" t="s">
        <v>177</v>
      </c>
      <c r="C43" s="88" t="s">
        <v>99</v>
      </c>
      <c r="D43" s="88" t="s">
        <v>99</v>
      </c>
      <c r="E43" s="88"/>
      <c r="F43" s="89" t="s">
        <v>159</v>
      </c>
      <c r="G43" s="120">
        <f>IF(Inputs!$D$20="Y",IF(Inputs!$D$21="Y",MAX(H68,O68),IF(OR(Inputs!$D$22="Y",Inputs!$D$23="Y",Inputs!$D$24="Y",Inputs!$D$25="Y"),MAX(H68,O68),H68)),O68)</f>
        <v>1.0400000000000001E-3</v>
      </c>
      <c r="M43" s="3"/>
    </row>
    <row r="44" spans="2:13" x14ac:dyDescent="0.2">
      <c r="B44" s="154" t="s">
        <v>183</v>
      </c>
      <c r="C44" s="88" t="s">
        <v>99</v>
      </c>
      <c r="D44" s="88" t="s">
        <v>99</v>
      </c>
      <c r="E44" s="88"/>
      <c r="F44" s="89" t="s">
        <v>211</v>
      </c>
      <c r="G44" s="120">
        <f>H82</f>
        <v>1.9200000000000002E-2</v>
      </c>
      <c r="M44" s="3"/>
    </row>
    <row r="45" spans="2:13" x14ac:dyDescent="0.2">
      <c r="B45" s="154" t="s">
        <v>200</v>
      </c>
      <c r="C45" s="88" t="s">
        <v>99</v>
      </c>
      <c r="D45" s="88" t="s">
        <v>99</v>
      </c>
      <c r="E45" s="88" t="s">
        <v>99</v>
      </c>
      <c r="F45" s="89" t="s">
        <v>226</v>
      </c>
      <c r="G45" s="120">
        <f>IF(Inputs!$D$20="Y",IF(Inputs!$D$21="Y",MAX(H99,O99),IF(OR(Inputs!$D$22="Y",Inputs!$D$23="Y",Inputs!$D$24="Y",Inputs!$D$25="Y"),MAX(H99,O99),H99)),O99)</f>
        <v>0.26</v>
      </c>
      <c r="M45" s="3"/>
    </row>
    <row r="46" spans="2:13" x14ac:dyDescent="0.2">
      <c r="B46" s="155" t="s">
        <v>178</v>
      </c>
      <c r="C46" s="88" t="s">
        <v>99</v>
      </c>
      <c r="D46" s="88" t="s">
        <v>99</v>
      </c>
      <c r="E46" s="88"/>
      <c r="F46" s="89" t="s">
        <v>160</v>
      </c>
      <c r="G46" s="120">
        <f>H69</f>
        <v>2.52E-2</v>
      </c>
      <c r="M46" s="3"/>
    </row>
    <row r="47" spans="2:13" x14ac:dyDescent="0.2">
      <c r="B47" s="154" t="s">
        <v>201</v>
      </c>
      <c r="C47" s="88" t="s">
        <v>99</v>
      </c>
      <c r="D47" s="88"/>
      <c r="E47" s="88" t="s">
        <v>99</v>
      </c>
      <c r="F47" s="89" t="s">
        <v>171</v>
      </c>
      <c r="G47" s="120">
        <f>H100</f>
        <v>3.5199999999999998E-6</v>
      </c>
      <c r="M47" s="3"/>
    </row>
    <row r="48" spans="2:13" x14ac:dyDescent="0.2">
      <c r="B48" s="154" t="s">
        <v>202</v>
      </c>
      <c r="C48" s="88" t="s">
        <v>99</v>
      </c>
      <c r="D48" s="88"/>
      <c r="E48" s="88" t="s">
        <v>99</v>
      </c>
      <c r="F48" s="89" t="s">
        <v>227</v>
      </c>
      <c r="G48" s="120">
        <f>IF(Inputs!$D$20="Y",IF(Inputs!$D$21="Y",MAX(H101,O101),IF(OR(Inputs!$D$22="Y",Inputs!$D$23="Y",Inputs!$D$24="Y",Inputs!$D$25="Y"),MAX(H101,O101),H101)),O101)</f>
        <v>9.1999999999999998E-3</v>
      </c>
      <c r="M48" s="3"/>
    </row>
    <row r="49" spans="1:15" x14ac:dyDescent="0.2">
      <c r="B49" s="154"/>
      <c r="C49" s="88"/>
      <c r="D49" s="88"/>
      <c r="E49" s="88"/>
      <c r="F49" s="89" t="s">
        <v>467</v>
      </c>
      <c r="G49" s="120">
        <f>SUM(G12:G14,G17,G20:G25,G28,G32:G33,G39,G45,G47:G48,G51)</f>
        <v>0.35392663999999996</v>
      </c>
      <c r="M49" s="3"/>
    </row>
    <row r="50" spans="1:15" x14ac:dyDescent="0.2">
      <c r="B50" s="154" t="s">
        <v>397</v>
      </c>
      <c r="C50" s="88" t="s">
        <v>99</v>
      </c>
      <c r="D50" s="88" t="s">
        <v>99</v>
      </c>
      <c r="E50" s="88"/>
      <c r="F50" s="89" t="s">
        <v>400</v>
      </c>
      <c r="G50" s="120">
        <f>IF(OR(Inputs!$D$22="Y",Inputs!$D$23="Y",Inputs!$D$24="Y",Inputs!$D$25="Y"),V80,0)</f>
        <v>5.1999999999999998E-2</v>
      </c>
      <c r="M50" s="3"/>
    </row>
    <row r="51" spans="1:15" x14ac:dyDescent="0.2">
      <c r="B51" s="154" t="s">
        <v>203</v>
      </c>
      <c r="C51" s="88" t="s">
        <v>99</v>
      </c>
      <c r="D51" s="88"/>
      <c r="E51" s="88" t="s">
        <v>99</v>
      </c>
      <c r="F51" s="89" t="s">
        <v>228</v>
      </c>
      <c r="G51" s="120">
        <f>IF(Inputs!$D$20="Y",IF(Inputs!$D$21="Y",MAX(H102,O102),IF(OR(Inputs!$D$22="Y",Inputs!$D$23="Y",Inputs!$D$24="Y",Inputs!$D$25="Y"),MAX(H102,O102),H102)),O102)</f>
        <v>1.2000000000000001E-3</v>
      </c>
      <c r="M51" s="3"/>
    </row>
    <row r="52" spans="1:15" x14ac:dyDescent="0.2">
      <c r="B52" s="154" t="s">
        <v>398</v>
      </c>
      <c r="C52" s="88" t="s">
        <v>99</v>
      </c>
      <c r="D52" s="88" t="s">
        <v>99</v>
      </c>
      <c r="E52" s="88"/>
      <c r="F52" s="89" t="s">
        <v>401</v>
      </c>
      <c r="G52" s="120">
        <f>IF(OR(Inputs!$D$22="Y",Inputs!$D$23="Y",Inputs!$D$24="Y",Inputs!$D$25="Y"),V81,0)</f>
        <v>6.4000000000000001E-2</v>
      </c>
      <c r="M52" s="3"/>
    </row>
    <row r="53" spans="1:15" x14ac:dyDescent="0.2">
      <c r="B53" s="177" t="s">
        <v>348</v>
      </c>
      <c r="C53" s="63" t="s">
        <v>99</v>
      </c>
      <c r="D53" s="63" t="s">
        <v>99</v>
      </c>
      <c r="E53" s="63"/>
      <c r="F53" s="173" t="s">
        <v>346</v>
      </c>
      <c r="G53" s="120">
        <f>H70</f>
        <v>1.3999999999999999E-4</v>
      </c>
      <c r="M53" s="3"/>
    </row>
    <row r="54" spans="1:15" x14ac:dyDescent="0.2">
      <c r="B54" s="154" t="s">
        <v>184</v>
      </c>
      <c r="C54" s="88" t="s">
        <v>99</v>
      </c>
      <c r="D54" s="88" t="s">
        <v>99</v>
      </c>
      <c r="E54" s="88"/>
      <c r="F54" s="89" t="s">
        <v>207</v>
      </c>
      <c r="G54" s="120">
        <f>IF(Inputs!$D$20="Y",IF(Inputs!$D$21="Y",MAX(H83,O83),IF(OR(Inputs!$D$22="Y",Inputs!$D$23="Y",Inputs!$D$24="Y",Inputs!$D$25="Y"),MAX(H83,O83),H83)),O83)</f>
        <v>1.1599999999999999</v>
      </c>
      <c r="M54" s="3"/>
    </row>
    <row r="55" spans="1:15" ht="13.5" thickBot="1" x14ac:dyDescent="0.25">
      <c r="B55" s="156" t="s">
        <v>185</v>
      </c>
      <c r="C55" s="90" t="s">
        <v>99</v>
      </c>
      <c r="D55" s="90" t="s">
        <v>99</v>
      </c>
      <c r="E55" s="90"/>
      <c r="F55" s="91" t="s">
        <v>208</v>
      </c>
      <c r="G55" s="121">
        <f>H84</f>
        <v>0.08</v>
      </c>
      <c r="M55" s="3"/>
    </row>
    <row r="56" spans="1:15" ht="13.5" thickTop="1" x14ac:dyDescent="0.2">
      <c r="B56" s="46"/>
      <c r="M56" s="3"/>
    </row>
    <row r="57" spans="1:15" ht="13.5" thickBot="1" x14ac:dyDescent="0.25"/>
    <row r="58" spans="1:15" ht="13.5" thickTop="1" x14ac:dyDescent="0.2">
      <c r="A58" s="4" t="s">
        <v>229</v>
      </c>
      <c r="B58" s="641" t="s">
        <v>239</v>
      </c>
      <c r="C58" s="638"/>
      <c r="D58" s="638"/>
      <c r="E58" s="638"/>
      <c r="F58" s="638"/>
      <c r="G58" s="638"/>
      <c r="H58" s="638"/>
      <c r="I58" s="638"/>
      <c r="J58" s="638"/>
      <c r="K58" s="638"/>
      <c r="L58" s="638"/>
      <c r="M58" s="638"/>
      <c r="N58" s="638"/>
      <c r="O58" s="642"/>
    </row>
    <row r="59" spans="1:15" ht="13.5" thickBot="1" x14ac:dyDescent="0.25">
      <c r="A59" s="5" t="s">
        <v>230</v>
      </c>
      <c r="B59" s="613" t="s">
        <v>20</v>
      </c>
      <c r="C59" s="657"/>
      <c r="D59" s="657"/>
      <c r="E59" s="657"/>
      <c r="F59" s="657"/>
      <c r="G59" s="657"/>
      <c r="H59" s="658"/>
      <c r="I59" s="613" t="s">
        <v>372</v>
      </c>
      <c r="J59" s="657"/>
      <c r="K59" s="657"/>
      <c r="L59" s="657"/>
      <c r="M59" s="657"/>
      <c r="N59" s="657"/>
      <c r="O59" s="659"/>
    </row>
    <row r="60" spans="1:15" x14ac:dyDescent="0.2">
      <c r="A60" s="5"/>
      <c r="B60" s="628" t="s">
        <v>75</v>
      </c>
      <c r="C60" s="617" t="s">
        <v>78</v>
      </c>
      <c r="D60" s="620" t="s">
        <v>79</v>
      </c>
      <c r="E60" s="623" t="s">
        <v>169</v>
      </c>
      <c r="F60" s="628" t="s">
        <v>4</v>
      </c>
      <c r="G60" s="85" t="s">
        <v>5</v>
      </c>
      <c r="H60" s="85" t="s">
        <v>8</v>
      </c>
      <c r="I60" s="628" t="s">
        <v>75</v>
      </c>
      <c r="J60" s="617" t="s">
        <v>78</v>
      </c>
      <c r="K60" s="620" t="s">
        <v>79</v>
      </c>
      <c r="L60" s="623" t="s">
        <v>169</v>
      </c>
      <c r="M60" s="628" t="s">
        <v>4</v>
      </c>
      <c r="N60" s="85" t="s">
        <v>5</v>
      </c>
      <c r="O60" s="92" t="s">
        <v>8</v>
      </c>
    </row>
    <row r="61" spans="1:15" ht="13.5" thickBot="1" x14ac:dyDescent="0.25">
      <c r="A61" s="5"/>
      <c r="B61" s="630"/>
      <c r="C61" s="619"/>
      <c r="D61" s="622"/>
      <c r="E61" s="625"/>
      <c r="F61" s="630"/>
      <c r="G61" s="24" t="s">
        <v>6</v>
      </c>
      <c r="H61" s="24" t="s">
        <v>9</v>
      </c>
      <c r="I61" s="630"/>
      <c r="J61" s="619"/>
      <c r="K61" s="622"/>
      <c r="L61" s="625"/>
      <c r="M61" s="630"/>
      <c r="N61" s="24" t="s">
        <v>6</v>
      </c>
      <c r="O61" s="93" t="s">
        <v>9</v>
      </c>
    </row>
    <row r="62" spans="1:15" x14ac:dyDescent="0.2">
      <c r="A62" s="5"/>
      <c r="B62" s="157" t="s">
        <v>174</v>
      </c>
      <c r="C62" s="86"/>
      <c r="D62" s="86" t="s">
        <v>99</v>
      </c>
      <c r="E62" s="86"/>
      <c r="F62" s="87" t="s">
        <v>155</v>
      </c>
      <c r="G62" s="95">
        <f>0.00000056</f>
        <v>5.6000000000000004E-7</v>
      </c>
      <c r="H62" s="115">
        <f t="shared" ref="H62:H70" si="1">$B$6*G62</f>
        <v>2.2400000000000002E-4</v>
      </c>
      <c r="I62" s="157" t="s">
        <v>174</v>
      </c>
      <c r="J62" s="86"/>
      <c r="K62" s="86" t="s">
        <v>99</v>
      </c>
      <c r="L62" s="86"/>
      <c r="M62" s="87" t="s">
        <v>155</v>
      </c>
      <c r="N62" s="95">
        <f xml:space="preserve"> 0.00000056</f>
        <v>5.6000000000000004E-7</v>
      </c>
      <c r="O62" s="119">
        <f t="shared" ref="O62:O70" si="2">$B$6*N62</f>
        <v>2.2400000000000002E-4</v>
      </c>
    </row>
    <row r="63" spans="1:15" x14ac:dyDescent="0.2">
      <c r="A63" s="5"/>
      <c r="B63" s="158" t="s">
        <v>176</v>
      </c>
      <c r="C63" s="88"/>
      <c r="D63" s="88" t="s">
        <v>99</v>
      </c>
      <c r="E63" s="88"/>
      <c r="F63" s="89" t="s">
        <v>157</v>
      </c>
      <c r="G63" s="96">
        <f>0.00000041</f>
        <v>4.0999999999999999E-7</v>
      </c>
      <c r="H63" s="117">
        <f t="shared" si="1"/>
        <v>1.64E-4</v>
      </c>
      <c r="I63" s="158" t="s">
        <v>176</v>
      </c>
      <c r="J63" s="88"/>
      <c r="K63" s="88" t="s">
        <v>99</v>
      </c>
      <c r="L63" s="88"/>
      <c r="M63" s="89" t="s">
        <v>157</v>
      </c>
      <c r="N63" s="96">
        <f xml:space="preserve"> 0.00000041</f>
        <v>4.0999999999999999E-7</v>
      </c>
      <c r="O63" s="120">
        <f t="shared" si="2"/>
        <v>1.64E-4</v>
      </c>
    </row>
    <row r="64" spans="1:15" x14ac:dyDescent="0.2">
      <c r="A64" s="5"/>
      <c r="B64" s="174" t="s">
        <v>35</v>
      </c>
      <c r="C64" s="88" t="s">
        <v>99</v>
      </c>
      <c r="D64" s="88"/>
      <c r="E64" s="88"/>
      <c r="F64" s="89" t="s">
        <v>344</v>
      </c>
      <c r="G64" s="96">
        <v>5.4999999999999999E-6</v>
      </c>
      <c r="H64" s="117">
        <f t="shared" si="1"/>
        <v>2.2000000000000001E-3</v>
      </c>
      <c r="I64" s="174" t="s">
        <v>35</v>
      </c>
      <c r="J64" s="88" t="s">
        <v>99</v>
      </c>
      <c r="K64" s="88"/>
      <c r="L64" s="88"/>
      <c r="M64" s="89" t="s">
        <v>344</v>
      </c>
      <c r="N64" s="96">
        <v>5.4999999999999999E-6</v>
      </c>
      <c r="O64" s="120">
        <f t="shared" si="2"/>
        <v>2.2000000000000001E-3</v>
      </c>
    </row>
    <row r="65" spans="1:41" x14ac:dyDescent="0.2">
      <c r="A65" s="5"/>
      <c r="B65" s="174" t="s">
        <v>35</v>
      </c>
      <c r="C65" s="88" t="s">
        <v>99</v>
      </c>
      <c r="D65" s="88" t="s">
        <v>99</v>
      </c>
      <c r="E65" s="88"/>
      <c r="F65" s="89" t="s">
        <v>345</v>
      </c>
      <c r="G65" s="96">
        <v>2.6000000000000001E-8</v>
      </c>
      <c r="H65" s="117">
        <f t="shared" si="1"/>
        <v>1.04E-5</v>
      </c>
      <c r="I65" s="174" t="s">
        <v>35</v>
      </c>
      <c r="J65" s="88" t="s">
        <v>99</v>
      </c>
      <c r="K65" s="88" t="s">
        <v>99</v>
      </c>
      <c r="L65" s="88"/>
      <c r="M65" s="89" t="s">
        <v>345</v>
      </c>
      <c r="N65" s="96">
        <v>2.6000000000000001E-8</v>
      </c>
      <c r="O65" s="120">
        <f t="shared" si="2"/>
        <v>1.04E-5</v>
      </c>
    </row>
    <row r="66" spans="1:41" x14ac:dyDescent="0.2">
      <c r="A66" s="5"/>
      <c r="B66" s="174" t="s">
        <v>35</v>
      </c>
      <c r="C66" s="88" t="s">
        <v>99</v>
      </c>
      <c r="D66" s="88" t="s">
        <v>99</v>
      </c>
      <c r="E66" s="88"/>
      <c r="F66" s="89" t="s">
        <v>154</v>
      </c>
      <c r="G66" s="96">
        <f xml:space="preserve"> 0.00000045</f>
        <v>4.4999999999999998E-7</v>
      </c>
      <c r="H66" s="117">
        <f t="shared" si="1"/>
        <v>1.7999999999999998E-4</v>
      </c>
      <c r="I66" s="158"/>
      <c r="J66" s="88" t="s">
        <v>99</v>
      </c>
      <c r="K66" s="88" t="s">
        <v>99</v>
      </c>
      <c r="L66" s="88"/>
      <c r="M66" s="89" t="s">
        <v>154</v>
      </c>
      <c r="N66" s="96">
        <f xml:space="preserve"> 0.00000045</f>
        <v>4.4999999999999998E-7</v>
      </c>
      <c r="O66" s="120">
        <f t="shared" si="2"/>
        <v>1.7999999999999998E-4</v>
      </c>
    </row>
    <row r="67" spans="1:41" x14ac:dyDescent="0.2">
      <c r="A67" s="5"/>
      <c r="B67" s="159" t="s">
        <v>422</v>
      </c>
      <c r="C67" s="88" t="s">
        <v>99</v>
      </c>
      <c r="D67" s="88" t="s">
        <v>99</v>
      </c>
      <c r="E67" s="88"/>
      <c r="F67" s="89" t="s">
        <v>423</v>
      </c>
      <c r="G67" s="96">
        <v>7.7000000000000008E-6</v>
      </c>
      <c r="H67" s="235">
        <f t="shared" si="1"/>
        <v>3.0800000000000003E-3</v>
      </c>
      <c r="I67" s="159" t="s">
        <v>422</v>
      </c>
      <c r="J67" s="88" t="s">
        <v>99</v>
      </c>
      <c r="K67" s="88" t="s">
        <v>99</v>
      </c>
      <c r="L67" s="88"/>
      <c r="M67" s="89" t="s">
        <v>423</v>
      </c>
      <c r="N67" s="96">
        <v>7.7000000000000008E-6</v>
      </c>
      <c r="O67" s="120">
        <f t="shared" si="2"/>
        <v>3.0800000000000003E-3</v>
      </c>
    </row>
    <row r="68" spans="1:41" x14ac:dyDescent="0.2">
      <c r="A68" s="5"/>
      <c r="B68" s="158" t="s">
        <v>177</v>
      </c>
      <c r="C68" s="88"/>
      <c r="D68" s="88" t="s">
        <v>99</v>
      </c>
      <c r="E68" s="88"/>
      <c r="F68" s="89" t="s">
        <v>159</v>
      </c>
      <c r="G68" s="96">
        <f xml:space="preserve"> 0.00000024</f>
        <v>2.3999999999999998E-7</v>
      </c>
      <c r="H68" s="117">
        <f t="shared" si="1"/>
        <v>9.5999999999999989E-5</v>
      </c>
      <c r="I68" s="158" t="s">
        <v>177</v>
      </c>
      <c r="J68" s="88"/>
      <c r="K68" s="88" t="s">
        <v>99</v>
      </c>
      <c r="L68" s="88"/>
      <c r="M68" s="89" t="s">
        <v>159</v>
      </c>
      <c r="N68" s="96">
        <f xml:space="preserve"> 0.0000026</f>
        <v>2.6000000000000001E-6</v>
      </c>
      <c r="O68" s="120">
        <f t="shared" si="2"/>
        <v>1.0400000000000001E-3</v>
      </c>
    </row>
    <row r="69" spans="1:41" x14ac:dyDescent="0.2">
      <c r="A69" s="101"/>
      <c r="B69" s="158" t="s">
        <v>178</v>
      </c>
      <c r="C69" s="88"/>
      <c r="D69" s="88" t="s">
        <v>99</v>
      </c>
      <c r="E69" s="88"/>
      <c r="F69" s="89" t="s">
        <v>160</v>
      </c>
      <c r="G69" s="96">
        <f xml:space="preserve"> 0.000063</f>
        <v>6.3E-5</v>
      </c>
      <c r="H69" s="117">
        <f t="shared" si="1"/>
        <v>2.52E-2</v>
      </c>
      <c r="I69" s="158" t="s">
        <v>178</v>
      </c>
      <c r="J69" s="88"/>
      <c r="K69" s="88" t="s">
        <v>99</v>
      </c>
      <c r="L69" s="88"/>
      <c r="M69" s="89" t="s">
        <v>160</v>
      </c>
      <c r="N69" s="96">
        <f xml:space="preserve"> 0.000063</f>
        <v>6.3E-5</v>
      </c>
      <c r="O69" s="120">
        <f t="shared" si="2"/>
        <v>2.52E-2</v>
      </c>
    </row>
    <row r="70" spans="1:41" ht="13.5" thickBot="1" x14ac:dyDescent="0.25">
      <c r="A70" s="102"/>
      <c r="B70" s="175" t="s">
        <v>35</v>
      </c>
      <c r="C70" s="90" t="s">
        <v>99</v>
      </c>
      <c r="D70" s="90" t="s">
        <v>99</v>
      </c>
      <c r="E70" s="90"/>
      <c r="F70" s="91" t="s">
        <v>346</v>
      </c>
      <c r="G70" s="103">
        <v>3.4999999999999998E-7</v>
      </c>
      <c r="H70" s="122">
        <f t="shared" si="1"/>
        <v>1.3999999999999999E-4</v>
      </c>
      <c r="I70" s="175" t="s">
        <v>35</v>
      </c>
      <c r="J70" s="90" t="s">
        <v>99</v>
      </c>
      <c r="K70" s="90" t="s">
        <v>99</v>
      </c>
      <c r="L70" s="90"/>
      <c r="M70" s="91" t="s">
        <v>346</v>
      </c>
      <c r="N70" s="103">
        <v>3.4999999999999998E-7</v>
      </c>
      <c r="O70" s="121">
        <f t="shared" si="2"/>
        <v>1.3999999999999999E-4</v>
      </c>
    </row>
    <row r="71" spans="1:41" ht="13.5" thickTop="1" x14ac:dyDescent="0.2">
      <c r="F71" s="67"/>
      <c r="M71" s="67"/>
    </row>
    <row r="72" spans="1:41" ht="13.5" thickBot="1" x14ac:dyDescent="0.25">
      <c r="F72" s="67"/>
      <c r="R72" s="67"/>
    </row>
    <row r="73" spans="1:41" ht="13.5" thickTop="1" x14ac:dyDescent="0.2">
      <c r="A73" s="100" t="s">
        <v>242</v>
      </c>
      <c r="B73" s="641" t="s">
        <v>239</v>
      </c>
      <c r="C73" s="638"/>
      <c r="D73" s="638"/>
      <c r="E73" s="638"/>
      <c r="F73" s="638"/>
      <c r="G73" s="638"/>
      <c r="H73" s="638"/>
      <c r="I73" s="638"/>
      <c r="J73" s="638"/>
      <c r="K73" s="638"/>
      <c r="L73" s="638"/>
      <c r="M73" s="638"/>
      <c r="N73" s="638"/>
      <c r="O73" s="638"/>
      <c r="P73" s="638"/>
      <c r="Q73" s="638"/>
      <c r="R73" s="638"/>
      <c r="S73" s="638"/>
      <c r="T73" s="638"/>
      <c r="U73" s="638"/>
      <c r="V73" s="642"/>
    </row>
    <row r="74" spans="1:41" ht="13.5" thickBot="1" x14ac:dyDescent="0.25">
      <c r="A74" s="101"/>
      <c r="B74" s="613" t="s">
        <v>20</v>
      </c>
      <c r="C74" s="657"/>
      <c r="D74" s="657"/>
      <c r="E74" s="657"/>
      <c r="F74" s="657"/>
      <c r="G74" s="657"/>
      <c r="H74" s="658"/>
      <c r="I74" s="613" t="s">
        <v>372</v>
      </c>
      <c r="J74" s="657"/>
      <c r="K74" s="657"/>
      <c r="L74" s="657"/>
      <c r="M74" s="657"/>
      <c r="N74" s="657"/>
      <c r="O74" s="657"/>
      <c r="P74" s="613" t="s">
        <v>404</v>
      </c>
      <c r="Q74" s="657"/>
      <c r="R74" s="657"/>
      <c r="S74" s="657"/>
      <c r="T74" s="657"/>
      <c r="U74" s="657"/>
      <c r="V74" s="659"/>
    </row>
    <row r="75" spans="1:41" x14ac:dyDescent="0.2">
      <c r="A75" s="101"/>
      <c r="B75" s="628" t="s">
        <v>75</v>
      </c>
      <c r="C75" s="617" t="s">
        <v>78</v>
      </c>
      <c r="D75" s="620" t="s">
        <v>79</v>
      </c>
      <c r="E75" s="623" t="s">
        <v>169</v>
      </c>
      <c r="F75" s="628" t="s">
        <v>4</v>
      </c>
      <c r="G75" s="85" t="s">
        <v>5</v>
      </c>
      <c r="H75" s="85" t="s">
        <v>8</v>
      </c>
      <c r="I75" s="628" t="s">
        <v>75</v>
      </c>
      <c r="J75" s="617" t="s">
        <v>78</v>
      </c>
      <c r="K75" s="620" t="s">
        <v>79</v>
      </c>
      <c r="L75" s="623" t="s">
        <v>169</v>
      </c>
      <c r="M75" s="628" t="s">
        <v>4</v>
      </c>
      <c r="N75" s="85" t="s">
        <v>5</v>
      </c>
      <c r="O75" s="241" t="s">
        <v>8</v>
      </c>
      <c r="P75" s="628" t="s">
        <v>75</v>
      </c>
      <c r="Q75" s="617" t="s">
        <v>78</v>
      </c>
      <c r="R75" s="620" t="s">
        <v>79</v>
      </c>
      <c r="S75" s="623" t="s">
        <v>169</v>
      </c>
      <c r="T75" s="628" t="s">
        <v>4</v>
      </c>
      <c r="U75" s="85" t="s">
        <v>5</v>
      </c>
      <c r="V75" s="92" t="s">
        <v>8</v>
      </c>
    </row>
    <row r="76" spans="1:41" ht="13.5" thickBot="1" x14ac:dyDescent="0.25">
      <c r="B76" s="630"/>
      <c r="C76" s="619"/>
      <c r="D76" s="622"/>
      <c r="E76" s="625"/>
      <c r="F76" s="630"/>
      <c r="G76" s="24" t="s">
        <v>6</v>
      </c>
      <c r="H76" s="24" t="s">
        <v>9</v>
      </c>
      <c r="I76" s="630"/>
      <c r="J76" s="619"/>
      <c r="K76" s="622"/>
      <c r="L76" s="625"/>
      <c r="M76" s="630"/>
      <c r="N76" s="24" t="s">
        <v>6</v>
      </c>
      <c r="O76" s="78" t="s">
        <v>9</v>
      </c>
      <c r="P76" s="630"/>
      <c r="Q76" s="619"/>
      <c r="R76" s="622"/>
      <c r="S76" s="625"/>
      <c r="T76" s="630"/>
      <c r="U76" s="24" t="s">
        <v>6</v>
      </c>
      <c r="V76" s="93" t="s">
        <v>9</v>
      </c>
      <c r="X76" s="69"/>
    </row>
    <row r="77" spans="1:41" x14ac:dyDescent="0.2">
      <c r="A77" s="101" t="s">
        <v>232</v>
      </c>
      <c r="B77" s="157" t="s">
        <v>161</v>
      </c>
      <c r="C77" s="86" t="s">
        <v>99</v>
      </c>
      <c r="D77" s="86" t="s">
        <v>99</v>
      </c>
      <c r="E77" s="86" t="s">
        <v>99</v>
      </c>
      <c r="F77" s="104" t="s">
        <v>209</v>
      </c>
      <c r="G77" s="112">
        <v>3.8999999999999999E-4</v>
      </c>
      <c r="H77" s="115">
        <f t="shared" ref="H77:H102" si="3">$B$6*G77</f>
        <v>0.156</v>
      </c>
      <c r="I77" s="157" t="s">
        <v>161</v>
      </c>
      <c r="J77" s="86" t="s">
        <v>99</v>
      </c>
      <c r="K77" s="86" t="s">
        <v>99</v>
      </c>
      <c r="L77" s="86" t="s">
        <v>99</v>
      </c>
      <c r="M77" s="87" t="s">
        <v>209</v>
      </c>
      <c r="N77" s="112">
        <v>3.8999999999999999E-4</v>
      </c>
      <c r="O77" s="232">
        <f t="shared" ref="O77:O105" si="4">$B$6*N77</f>
        <v>0.156</v>
      </c>
      <c r="P77" s="157" t="s">
        <v>395</v>
      </c>
      <c r="Q77" s="86" t="s">
        <v>99</v>
      </c>
      <c r="R77" s="86" t="s">
        <v>99</v>
      </c>
      <c r="S77" s="86"/>
      <c r="T77" s="104" t="s">
        <v>402</v>
      </c>
      <c r="U77" s="242">
        <v>1.2999999999999999E-3</v>
      </c>
      <c r="V77" s="244">
        <f>$B$6*U77</f>
        <v>0.52</v>
      </c>
      <c r="X77" s="69"/>
    </row>
    <row r="78" spans="1:41" x14ac:dyDescent="0.2">
      <c r="A78" s="101"/>
      <c r="B78" s="159" t="s">
        <v>179</v>
      </c>
      <c r="C78" s="88" t="s">
        <v>99</v>
      </c>
      <c r="D78" s="88" t="s">
        <v>99</v>
      </c>
      <c r="E78" s="88"/>
      <c r="F78" s="89" t="s">
        <v>204</v>
      </c>
      <c r="G78" s="113">
        <v>2.4000000000000001E-4</v>
      </c>
      <c r="H78" s="117">
        <f t="shared" si="3"/>
        <v>9.6000000000000002E-2</v>
      </c>
      <c r="I78" s="159" t="s">
        <v>179</v>
      </c>
      <c r="J78" s="88" t="s">
        <v>99</v>
      </c>
      <c r="K78" s="88" t="s">
        <v>99</v>
      </c>
      <c r="L78" s="88"/>
      <c r="M78" s="89" t="s">
        <v>204</v>
      </c>
      <c r="N78" s="113">
        <v>2.4000000000000001E-4</v>
      </c>
      <c r="O78" s="235">
        <f t="shared" si="4"/>
        <v>9.6000000000000002E-2</v>
      </c>
      <c r="P78" s="158" t="s">
        <v>396</v>
      </c>
      <c r="Q78" s="88" t="s">
        <v>99</v>
      </c>
      <c r="R78" s="88" t="s">
        <v>99</v>
      </c>
      <c r="S78" s="88"/>
      <c r="T78" s="106" t="s">
        <v>403</v>
      </c>
      <c r="U78" s="243">
        <v>2.5999999999999998E-5</v>
      </c>
      <c r="V78" s="245">
        <f>$B$6*U78</f>
        <v>1.04E-2</v>
      </c>
      <c r="X78" s="69"/>
    </row>
    <row r="79" spans="1:41" x14ac:dyDescent="0.2">
      <c r="A79" s="101"/>
      <c r="B79" s="159" t="s">
        <v>180</v>
      </c>
      <c r="C79" s="88" t="s">
        <v>99</v>
      </c>
      <c r="D79" s="88" t="s">
        <v>99</v>
      </c>
      <c r="E79" s="88" t="s">
        <v>99</v>
      </c>
      <c r="F79" s="89" t="s">
        <v>210</v>
      </c>
      <c r="G79" s="113">
        <v>3.0999999999999999E-3</v>
      </c>
      <c r="H79" s="117">
        <f t="shared" si="3"/>
        <v>1.24</v>
      </c>
      <c r="I79" s="159" t="s">
        <v>180</v>
      </c>
      <c r="J79" s="88" t="s">
        <v>99</v>
      </c>
      <c r="K79" s="88" t="s">
        <v>99</v>
      </c>
      <c r="L79" s="88" t="s">
        <v>99</v>
      </c>
      <c r="M79" s="89" t="s">
        <v>210</v>
      </c>
      <c r="N79" s="113">
        <v>3.0999999999999999E-3</v>
      </c>
      <c r="O79" s="235">
        <f t="shared" si="4"/>
        <v>1.24</v>
      </c>
      <c r="P79" s="159" t="s">
        <v>318</v>
      </c>
      <c r="Q79" s="88"/>
      <c r="R79" s="88" t="s">
        <v>99</v>
      </c>
      <c r="S79" s="88"/>
      <c r="T79" s="89" t="s">
        <v>399</v>
      </c>
      <c r="U79" s="113">
        <v>2.0000000000000002E-5</v>
      </c>
      <c r="V79" s="120">
        <f>$B$6*U79</f>
        <v>8.0000000000000002E-3</v>
      </c>
      <c r="X79" s="69"/>
      <c r="AK79" t="s">
        <v>49</v>
      </c>
      <c r="AL79" t="s">
        <v>50</v>
      </c>
      <c r="AM79" t="s">
        <v>51</v>
      </c>
      <c r="AN79" t="s">
        <v>43</v>
      </c>
      <c r="AO79" t="s">
        <v>46</v>
      </c>
    </row>
    <row r="80" spans="1:41" x14ac:dyDescent="0.2">
      <c r="A80" s="101"/>
      <c r="B80" s="159" t="s">
        <v>181</v>
      </c>
      <c r="C80" s="88" t="s">
        <v>99</v>
      </c>
      <c r="D80" s="88" t="s">
        <v>99</v>
      </c>
      <c r="E80" s="88" t="s">
        <v>99</v>
      </c>
      <c r="F80" s="89" t="s">
        <v>205</v>
      </c>
      <c r="G80" s="113">
        <v>9.2000000000000003E-4</v>
      </c>
      <c r="H80" s="117">
        <f t="shared" si="3"/>
        <v>0.36799999999999999</v>
      </c>
      <c r="I80" s="159" t="s">
        <v>181</v>
      </c>
      <c r="J80" s="88" t="s">
        <v>99</v>
      </c>
      <c r="K80" s="88" t="s">
        <v>99</v>
      </c>
      <c r="L80" s="88" t="s">
        <v>99</v>
      </c>
      <c r="M80" s="89" t="s">
        <v>205</v>
      </c>
      <c r="N80" s="113">
        <v>9.2000000000000003E-4</v>
      </c>
      <c r="O80" s="235">
        <f t="shared" si="4"/>
        <v>0.36799999999999999</v>
      </c>
      <c r="P80" s="159" t="s">
        <v>397</v>
      </c>
      <c r="Q80" s="88" t="s">
        <v>99</v>
      </c>
      <c r="R80" s="88" t="s">
        <v>99</v>
      </c>
      <c r="S80" s="88"/>
      <c r="T80" s="89" t="s">
        <v>400</v>
      </c>
      <c r="U80" s="113">
        <v>1.2999999999999999E-4</v>
      </c>
      <c r="V80" s="120">
        <f>$B$6*U80</f>
        <v>5.1999999999999998E-2</v>
      </c>
      <c r="X80" s="69"/>
      <c r="AK80" t="s">
        <v>52</v>
      </c>
      <c r="AL80" t="s">
        <v>53</v>
      </c>
      <c r="AM80" t="s">
        <v>54</v>
      </c>
      <c r="AN80" t="s">
        <v>43</v>
      </c>
      <c r="AO80" t="s">
        <v>48</v>
      </c>
    </row>
    <row r="81" spans="1:41" x14ac:dyDescent="0.2">
      <c r="A81" s="101"/>
      <c r="B81" s="159" t="s">
        <v>182</v>
      </c>
      <c r="C81" s="88" t="s">
        <v>99</v>
      </c>
      <c r="D81" s="88" t="s">
        <v>99</v>
      </c>
      <c r="E81" s="88"/>
      <c r="F81" s="89" t="s">
        <v>330</v>
      </c>
      <c r="G81" s="113">
        <f xml:space="preserve"> 0.00004</f>
        <v>4.0000000000000003E-5</v>
      </c>
      <c r="H81" s="117">
        <f t="shared" si="3"/>
        <v>1.6E-2</v>
      </c>
      <c r="I81" s="159" t="s">
        <v>182</v>
      </c>
      <c r="J81" s="88" t="s">
        <v>99</v>
      </c>
      <c r="K81" s="88" t="s">
        <v>99</v>
      </c>
      <c r="L81" s="88"/>
      <c r="M81" s="89" t="s">
        <v>206</v>
      </c>
      <c r="N81" s="113">
        <f xml:space="preserve"> 0.00004</f>
        <v>4.0000000000000003E-5</v>
      </c>
      <c r="O81" s="235">
        <f t="shared" si="4"/>
        <v>1.6E-2</v>
      </c>
      <c r="P81" s="159" t="s">
        <v>398</v>
      </c>
      <c r="Q81" s="88" t="s">
        <v>99</v>
      </c>
      <c r="R81" s="88" t="s">
        <v>99</v>
      </c>
      <c r="S81" s="88"/>
      <c r="T81" s="89" t="s">
        <v>401</v>
      </c>
      <c r="U81" s="113">
        <v>1.6000000000000001E-4</v>
      </c>
      <c r="V81" s="120">
        <f>$B$6*U81</f>
        <v>6.4000000000000001E-2</v>
      </c>
      <c r="X81" s="69"/>
      <c r="AK81" t="s">
        <v>55</v>
      </c>
      <c r="AL81" t="s">
        <v>56</v>
      </c>
      <c r="AM81" t="s">
        <v>44</v>
      </c>
      <c r="AN81" t="s">
        <v>43</v>
      </c>
      <c r="AO81" t="s">
        <v>48</v>
      </c>
    </row>
    <row r="82" spans="1:41" x14ac:dyDescent="0.2">
      <c r="A82" s="101"/>
      <c r="B82" s="159" t="s">
        <v>183</v>
      </c>
      <c r="C82" s="88" t="s">
        <v>99</v>
      </c>
      <c r="D82" s="88" t="s">
        <v>99</v>
      </c>
      <c r="E82" s="88"/>
      <c r="F82" s="89" t="s">
        <v>211</v>
      </c>
      <c r="G82" s="113">
        <f xml:space="preserve"> 0.000048</f>
        <v>4.8000000000000001E-5</v>
      </c>
      <c r="H82" s="117">
        <f t="shared" si="3"/>
        <v>1.9200000000000002E-2</v>
      </c>
      <c r="I82" s="159" t="s">
        <v>183</v>
      </c>
      <c r="J82" s="88" t="s">
        <v>99</v>
      </c>
      <c r="K82" s="88" t="s">
        <v>99</v>
      </c>
      <c r="L82" s="88"/>
      <c r="M82" s="89" t="s">
        <v>211</v>
      </c>
      <c r="N82" s="113">
        <f xml:space="preserve"> 0.000048</f>
        <v>4.8000000000000001E-5</v>
      </c>
      <c r="O82" s="235">
        <f t="shared" si="4"/>
        <v>1.9200000000000002E-2</v>
      </c>
      <c r="R82" s="67"/>
      <c r="S82" s="68"/>
      <c r="X82" s="69"/>
      <c r="AK82" t="s">
        <v>57</v>
      </c>
      <c r="AL82" t="s">
        <v>58</v>
      </c>
      <c r="AM82" t="s">
        <v>59</v>
      </c>
      <c r="AN82" t="s">
        <v>45</v>
      </c>
      <c r="AO82" t="s">
        <v>47</v>
      </c>
    </row>
    <row r="83" spans="1:41" x14ac:dyDescent="0.2">
      <c r="A83" s="101"/>
      <c r="B83" s="159" t="s">
        <v>184</v>
      </c>
      <c r="C83" s="88" t="s">
        <v>99</v>
      </c>
      <c r="D83" s="88" t="s">
        <v>99</v>
      </c>
      <c r="E83" s="88" t="s">
        <v>99</v>
      </c>
      <c r="F83" s="89" t="s">
        <v>207</v>
      </c>
      <c r="G83" s="113">
        <v>1.4999999999999999E-4</v>
      </c>
      <c r="H83" s="117">
        <f t="shared" si="3"/>
        <v>0.06</v>
      </c>
      <c r="I83" s="159" t="s">
        <v>184</v>
      </c>
      <c r="J83" s="88" t="s">
        <v>99</v>
      </c>
      <c r="K83" s="88" t="s">
        <v>99</v>
      </c>
      <c r="L83" s="88" t="s">
        <v>99</v>
      </c>
      <c r="M83" s="89" t="s">
        <v>207</v>
      </c>
      <c r="N83" s="113">
        <v>2.8999999999999998E-3</v>
      </c>
      <c r="O83" s="235">
        <f t="shared" si="4"/>
        <v>1.1599999999999999</v>
      </c>
      <c r="R83" s="67"/>
      <c r="S83" s="68"/>
      <c r="X83" s="69"/>
      <c r="AK83" t="s">
        <v>60</v>
      </c>
      <c r="AL83" t="s">
        <v>61</v>
      </c>
      <c r="AM83" t="s">
        <v>162</v>
      </c>
      <c r="AN83" t="s">
        <v>43</v>
      </c>
      <c r="AO83" t="s">
        <v>163</v>
      </c>
    </row>
    <row r="84" spans="1:41" x14ac:dyDescent="0.2">
      <c r="B84" s="159" t="s">
        <v>185</v>
      </c>
      <c r="C84" s="88" t="s">
        <v>99</v>
      </c>
      <c r="D84" s="88" t="s">
        <v>99</v>
      </c>
      <c r="E84" s="88"/>
      <c r="F84" s="89" t="s">
        <v>208</v>
      </c>
      <c r="G84" s="113">
        <v>2.0000000000000001E-4</v>
      </c>
      <c r="H84" s="117">
        <f t="shared" si="3"/>
        <v>0.08</v>
      </c>
      <c r="I84" s="159" t="s">
        <v>185</v>
      </c>
      <c r="J84" s="88" t="s">
        <v>99</v>
      </c>
      <c r="K84" s="88" t="s">
        <v>99</v>
      </c>
      <c r="L84" s="88"/>
      <c r="M84" s="89" t="s">
        <v>208</v>
      </c>
      <c r="N84" s="113">
        <v>2.0000000000000001E-4</v>
      </c>
      <c r="O84" s="235">
        <f t="shared" si="4"/>
        <v>0.08</v>
      </c>
      <c r="R84" s="67"/>
      <c r="S84" s="68"/>
      <c r="X84" s="69"/>
      <c r="AK84" t="s">
        <v>62</v>
      </c>
      <c r="AL84" t="s">
        <v>63</v>
      </c>
      <c r="AM84" t="s">
        <v>64</v>
      </c>
      <c r="AN84" t="s">
        <v>43</v>
      </c>
      <c r="AO84" t="s">
        <v>46</v>
      </c>
    </row>
    <row r="85" spans="1:41" x14ac:dyDescent="0.2">
      <c r="A85" s="101" t="s">
        <v>233</v>
      </c>
      <c r="B85" s="159" t="s">
        <v>186</v>
      </c>
      <c r="C85" s="88" t="s">
        <v>99</v>
      </c>
      <c r="D85" s="88"/>
      <c r="E85" s="88" t="s">
        <v>99</v>
      </c>
      <c r="F85" s="89" t="s">
        <v>212</v>
      </c>
      <c r="G85" s="113">
        <f>0.000074</f>
        <v>7.3999999999999996E-5</v>
      </c>
      <c r="H85" s="117">
        <f t="shared" si="3"/>
        <v>2.9599999999999998E-2</v>
      </c>
      <c r="I85" s="159" t="s">
        <v>186</v>
      </c>
      <c r="J85" s="88" t="s">
        <v>99</v>
      </c>
      <c r="K85" s="88"/>
      <c r="L85" s="88" t="s">
        <v>99</v>
      </c>
      <c r="M85" s="89" t="s">
        <v>212</v>
      </c>
      <c r="N85" s="113">
        <v>1.7000000000000001E-4</v>
      </c>
      <c r="O85" s="235">
        <f t="shared" si="4"/>
        <v>6.8000000000000005E-2</v>
      </c>
      <c r="R85" s="67"/>
      <c r="S85" s="68"/>
      <c r="X85" s="69"/>
      <c r="AK85" t="s">
        <v>65</v>
      </c>
      <c r="AL85" t="s">
        <v>66</v>
      </c>
      <c r="AM85" t="s">
        <v>164</v>
      </c>
      <c r="AN85" t="s">
        <v>45</v>
      </c>
      <c r="AO85" t="s">
        <v>165</v>
      </c>
    </row>
    <row r="86" spans="1:41" x14ac:dyDescent="0.2">
      <c r="A86" s="101"/>
      <c r="B86" s="159" t="s">
        <v>187</v>
      </c>
      <c r="C86" s="88" t="s">
        <v>99</v>
      </c>
      <c r="D86" s="88"/>
      <c r="E86" s="88" t="s">
        <v>99</v>
      </c>
      <c r="F86" s="89" t="s">
        <v>213</v>
      </c>
      <c r="G86" s="113">
        <f xml:space="preserve"> 0.0000014</f>
        <v>1.3999999999999999E-6</v>
      </c>
      <c r="H86" s="117">
        <f t="shared" si="3"/>
        <v>5.5999999999999995E-4</v>
      </c>
      <c r="I86" s="159" t="s">
        <v>187</v>
      </c>
      <c r="J86" s="88" t="s">
        <v>99</v>
      </c>
      <c r="K86" s="88"/>
      <c r="L86" s="88" t="s">
        <v>99</v>
      </c>
      <c r="M86" s="89" t="s">
        <v>213</v>
      </c>
      <c r="N86" s="113">
        <f xml:space="preserve"> 0.0000014</f>
        <v>1.3999999999999999E-6</v>
      </c>
      <c r="O86" s="235">
        <f t="shared" si="4"/>
        <v>5.5999999999999995E-4</v>
      </c>
      <c r="R86" s="67"/>
      <c r="S86" s="68"/>
      <c r="X86" s="69"/>
      <c r="AK86" t="s">
        <v>67</v>
      </c>
      <c r="AL86" t="s">
        <v>68</v>
      </c>
      <c r="AM86" t="s">
        <v>69</v>
      </c>
      <c r="AN86" t="s">
        <v>43</v>
      </c>
      <c r="AO86" t="s">
        <v>46</v>
      </c>
    </row>
    <row r="87" spans="1:41" x14ac:dyDescent="0.2">
      <c r="A87" s="101"/>
      <c r="B87" s="159" t="s">
        <v>188</v>
      </c>
      <c r="C87" s="88" t="s">
        <v>99</v>
      </c>
      <c r="D87" s="88"/>
      <c r="E87" s="88" t="s">
        <v>99</v>
      </c>
      <c r="F87" s="89" t="s">
        <v>214</v>
      </c>
      <c r="G87" s="113">
        <f xml:space="preserve"> 0.0000086</f>
        <v>8.6000000000000007E-6</v>
      </c>
      <c r="H87" s="117">
        <f t="shared" si="3"/>
        <v>3.4400000000000003E-3</v>
      </c>
      <c r="I87" s="159" t="s">
        <v>188</v>
      </c>
      <c r="J87" s="88" t="s">
        <v>99</v>
      </c>
      <c r="K87" s="88"/>
      <c r="L87" s="88" t="s">
        <v>99</v>
      </c>
      <c r="M87" s="89" t="s">
        <v>214</v>
      </c>
      <c r="N87" s="113">
        <f xml:space="preserve"> 0.000022</f>
        <v>2.1999999999999999E-5</v>
      </c>
      <c r="O87" s="235">
        <f t="shared" si="4"/>
        <v>8.8000000000000005E-3</v>
      </c>
      <c r="X87" s="69"/>
      <c r="AK87" t="s">
        <v>70</v>
      </c>
      <c r="AL87" t="s">
        <v>71</v>
      </c>
      <c r="AM87" t="s">
        <v>166</v>
      </c>
      <c r="AN87" t="s">
        <v>45</v>
      </c>
      <c r="AO87" t="s">
        <v>167</v>
      </c>
    </row>
    <row r="88" spans="1:41" x14ac:dyDescent="0.2">
      <c r="A88" s="101"/>
      <c r="B88" s="159" t="s">
        <v>189</v>
      </c>
      <c r="C88" s="88" t="s">
        <v>99</v>
      </c>
      <c r="D88" s="88"/>
      <c r="E88" s="88" t="s">
        <v>99</v>
      </c>
      <c r="F88" s="89" t="s">
        <v>215</v>
      </c>
      <c r="G88" s="113">
        <f xml:space="preserve"> 0.00000022</f>
        <v>2.2000000000000001E-7</v>
      </c>
      <c r="H88" s="117">
        <f t="shared" si="3"/>
        <v>8.7999999999999998E-5</v>
      </c>
      <c r="I88" s="159" t="s">
        <v>189</v>
      </c>
      <c r="J88" s="88" t="s">
        <v>99</v>
      </c>
      <c r="K88" s="88"/>
      <c r="L88" s="88" t="s">
        <v>99</v>
      </c>
      <c r="M88" s="89" t="s">
        <v>215</v>
      </c>
      <c r="N88" s="113">
        <f xml:space="preserve"> 0.0000031</f>
        <v>3.1E-6</v>
      </c>
      <c r="O88" s="235">
        <f t="shared" si="4"/>
        <v>1.24E-3</v>
      </c>
      <c r="X88" s="69"/>
      <c r="AK88" t="s">
        <v>72</v>
      </c>
      <c r="AL88" t="s">
        <v>73</v>
      </c>
      <c r="AM88" t="s">
        <v>168</v>
      </c>
      <c r="AN88" t="s">
        <v>43</v>
      </c>
      <c r="AO88" t="s">
        <v>74</v>
      </c>
    </row>
    <row r="89" spans="1:41" x14ac:dyDescent="0.2">
      <c r="A89" s="101"/>
      <c r="B89" s="159" t="s">
        <v>190</v>
      </c>
      <c r="C89" s="88" t="s">
        <v>99</v>
      </c>
      <c r="D89" s="88"/>
      <c r="E89" s="88" t="s">
        <v>99</v>
      </c>
      <c r="F89" s="89" t="s">
        <v>216</v>
      </c>
      <c r="G89" s="113">
        <f xml:space="preserve"> 0.00000021</f>
        <v>2.1E-7</v>
      </c>
      <c r="H89" s="117">
        <f t="shared" si="3"/>
        <v>8.3999999999999995E-5</v>
      </c>
      <c r="I89" s="159" t="s">
        <v>190</v>
      </c>
      <c r="J89" s="88" t="s">
        <v>99</v>
      </c>
      <c r="K89" s="88"/>
      <c r="L89" s="88" t="s">
        <v>99</v>
      </c>
      <c r="M89" s="89" t="s">
        <v>216</v>
      </c>
      <c r="N89" s="113">
        <f xml:space="preserve"> 0.00000021</f>
        <v>2.1E-7</v>
      </c>
      <c r="O89" s="235">
        <f t="shared" si="4"/>
        <v>8.3999999999999995E-5</v>
      </c>
      <c r="X89" s="69"/>
    </row>
    <row r="90" spans="1:41" x14ac:dyDescent="0.2">
      <c r="A90" s="101"/>
      <c r="B90" s="159" t="s">
        <v>191</v>
      </c>
      <c r="C90" s="88" t="s">
        <v>99</v>
      </c>
      <c r="D90" s="88"/>
      <c r="E90" s="88" t="s">
        <v>99</v>
      </c>
      <c r="F90" s="89" t="s">
        <v>217</v>
      </c>
      <c r="G90" s="113">
        <f xml:space="preserve"> 0.0000000098</f>
        <v>9.8000000000000001E-9</v>
      </c>
      <c r="H90" s="117">
        <f t="shared" si="3"/>
        <v>3.9199999999999997E-6</v>
      </c>
      <c r="I90" s="159" t="s">
        <v>191</v>
      </c>
      <c r="J90" s="88" t="s">
        <v>99</v>
      </c>
      <c r="K90" s="88"/>
      <c r="L90" s="88" t="s">
        <v>99</v>
      </c>
      <c r="M90" s="89" t="s">
        <v>217</v>
      </c>
      <c r="N90" s="113">
        <f xml:space="preserve"> 0.0000000098</f>
        <v>9.8000000000000001E-9</v>
      </c>
      <c r="O90" s="235">
        <f t="shared" si="4"/>
        <v>3.9199999999999997E-6</v>
      </c>
      <c r="X90" s="69"/>
    </row>
    <row r="91" spans="1:41" x14ac:dyDescent="0.2">
      <c r="A91" s="101"/>
      <c r="B91" s="159" t="s">
        <v>192</v>
      </c>
      <c r="C91" s="88" t="s">
        <v>99</v>
      </c>
      <c r="D91" s="88"/>
      <c r="E91" s="88" t="s">
        <v>99</v>
      </c>
      <c r="F91" s="89" t="s">
        <v>218</v>
      </c>
      <c r="G91" s="113">
        <f xml:space="preserve"> 0.0000001</f>
        <v>9.9999999999999995E-8</v>
      </c>
      <c r="H91" s="117">
        <f t="shared" si="3"/>
        <v>3.9999999999999996E-5</v>
      </c>
      <c r="I91" s="159" t="s">
        <v>192</v>
      </c>
      <c r="J91" s="88" t="s">
        <v>99</v>
      </c>
      <c r="K91" s="88"/>
      <c r="L91" s="88" t="s">
        <v>99</v>
      </c>
      <c r="M91" s="89" t="s">
        <v>218</v>
      </c>
      <c r="N91" s="113">
        <f xml:space="preserve"> 0.0000001</f>
        <v>9.9999999999999995E-8</v>
      </c>
      <c r="O91" s="235">
        <f t="shared" si="4"/>
        <v>3.9999999999999996E-5</v>
      </c>
      <c r="X91" s="69"/>
    </row>
    <row r="92" spans="1:41" x14ac:dyDescent="0.2">
      <c r="A92" s="101"/>
      <c r="B92" s="159" t="s">
        <v>193</v>
      </c>
      <c r="C92" s="88"/>
      <c r="D92" s="88"/>
      <c r="E92" s="88" t="s">
        <v>99</v>
      </c>
      <c r="F92" s="89" t="s">
        <v>219</v>
      </c>
      <c r="G92" s="113">
        <f xml:space="preserve"> 0.00000011</f>
        <v>1.1000000000000001E-7</v>
      </c>
      <c r="H92" s="117">
        <f t="shared" si="3"/>
        <v>4.3999999999999999E-5</v>
      </c>
      <c r="I92" s="159" t="s">
        <v>193</v>
      </c>
      <c r="J92" s="88"/>
      <c r="K92" s="88"/>
      <c r="L92" s="88" t="s">
        <v>99</v>
      </c>
      <c r="M92" s="89" t="s">
        <v>219</v>
      </c>
      <c r="N92" s="113">
        <f xml:space="preserve"> 0.00000011</f>
        <v>1.1000000000000001E-7</v>
      </c>
      <c r="O92" s="235">
        <f t="shared" si="4"/>
        <v>4.3999999999999999E-5</v>
      </c>
      <c r="X92" s="69"/>
    </row>
    <row r="93" spans="1:41" x14ac:dyDescent="0.2">
      <c r="A93" s="101"/>
      <c r="B93" s="159" t="s">
        <v>194</v>
      </c>
      <c r="C93" s="88" t="s">
        <v>99</v>
      </c>
      <c r="D93" s="88"/>
      <c r="E93" s="88" t="s">
        <v>99</v>
      </c>
      <c r="F93" s="89" t="s">
        <v>220</v>
      </c>
      <c r="G93" s="113">
        <f xml:space="preserve"> 0.00000004</f>
        <v>4.0000000000000001E-8</v>
      </c>
      <c r="H93" s="117">
        <f t="shared" si="3"/>
        <v>1.5999999999999999E-5</v>
      </c>
      <c r="I93" s="159" t="s">
        <v>194</v>
      </c>
      <c r="J93" s="88" t="s">
        <v>99</v>
      </c>
      <c r="K93" s="88"/>
      <c r="L93" s="88" t="s">
        <v>99</v>
      </c>
      <c r="M93" s="89" t="s">
        <v>220</v>
      </c>
      <c r="N93" s="113">
        <f xml:space="preserve"> 0.00000004</f>
        <v>4.0000000000000001E-8</v>
      </c>
      <c r="O93" s="235">
        <f t="shared" si="4"/>
        <v>1.5999999999999999E-5</v>
      </c>
      <c r="X93" s="69"/>
    </row>
    <row r="94" spans="1:41" x14ac:dyDescent="0.2">
      <c r="A94" s="101"/>
      <c r="B94" s="159" t="s">
        <v>195</v>
      </c>
      <c r="C94" s="88" t="s">
        <v>99</v>
      </c>
      <c r="D94" s="88"/>
      <c r="E94" s="88" t="s">
        <v>99</v>
      </c>
      <c r="F94" s="89" t="s">
        <v>221</v>
      </c>
      <c r="G94" s="113">
        <f xml:space="preserve"> 0.000000041</f>
        <v>4.1000000000000003E-8</v>
      </c>
      <c r="H94" s="117">
        <f t="shared" si="3"/>
        <v>1.6400000000000002E-5</v>
      </c>
      <c r="I94" s="159" t="s">
        <v>195</v>
      </c>
      <c r="J94" s="88" t="s">
        <v>99</v>
      </c>
      <c r="K94" s="88"/>
      <c r="L94" s="88" t="s">
        <v>99</v>
      </c>
      <c r="M94" s="89" t="s">
        <v>221</v>
      </c>
      <c r="N94" s="113">
        <f xml:space="preserve"> 0.000000041</f>
        <v>4.1000000000000003E-8</v>
      </c>
      <c r="O94" s="235">
        <f t="shared" si="4"/>
        <v>1.6400000000000002E-5</v>
      </c>
      <c r="X94" s="69"/>
    </row>
    <row r="95" spans="1:41" x14ac:dyDescent="0.2">
      <c r="A95" s="101"/>
      <c r="B95" s="159" t="s">
        <v>196</v>
      </c>
      <c r="C95" s="88" t="s">
        <v>99</v>
      </c>
      <c r="D95" s="88"/>
      <c r="E95" s="88" t="s">
        <v>99</v>
      </c>
      <c r="F95" s="89" t="s">
        <v>222</v>
      </c>
      <c r="G95" s="113">
        <f xml:space="preserve"> 0.00000018</f>
        <v>1.8E-7</v>
      </c>
      <c r="H95" s="117">
        <f t="shared" si="3"/>
        <v>7.2000000000000002E-5</v>
      </c>
      <c r="I95" s="159" t="s">
        <v>196</v>
      </c>
      <c r="J95" s="88" t="s">
        <v>99</v>
      </c>
      <c r="K95" s="88"/>
      <c r="L95" s="88" t="s">
        <v>99</v>
      </c>
      <c r="M95" s="89" t="s">
        <v>222</v>
      </c>
      <c r="N95" s="113">
        <f xml:space="preserve"> 0.00000018</f>
        <v>1.8E-7</v>
      </c>
      <c r="O95" s="235">
        <f t="shared" si="4"/>
        <v>7.2000000000000002E-5</v>
      </c>
      <c r="X95" s="69"/>
    </row>
    <row r="96" spans="1:41" x14ac:dyDescent="0.2">
      <c r="A96" s="101"/>
      <c r="B96" s="159" t="s">
        <v>197</v>
      </c>
      <c r="C96" s="88" t="s">
        <v>99</v>
      </c>
      <c r="D96" s="88"/>
      <c r="E96" s="88" t="s">
        <v>99</v>
      </c>
      <c r="F96" s="89" t="s">
        <v>223</v>
      </c>
      <c r="G96" s="113">
        <f xml:space="preserve"> 0.00000061</f>
        <v>6.0999999999999998E-7</v>
      </c>
      <c r="H96" s="117">
        <f t="shared" si="3"/>
        <v>2.4399999999999999E-4</v>
      </c>
      <c r="I96" s="159" t="s">
        <v>197</v>
      </c>
      <c r="J96" s="88" t="s">
        <v>99</v>
      </c>
      <c r="K96" s="88"/>
      <c r="L96" s="88" t="s">
        <v>99</v>
      </c>
      <c r="M96" s="89" t="s">
        <v>223</v>
      </c>
      <c r="N96" s="113">
        <f xml:space="preserve"> 0.00000061</f>
        <v>6.0999999999999998E-7</v>
      </c>
      <c r="O96" s="235">
        <f t="shared" si="4"/>
        <v>2.4399999999999999E-4</v>
      </c>
      <c r="X96" s="69"/>
    </row>
    <row r="97" spans="1:24" x14ac:dyDescent="0.2">
      <c r="A97" s="101"/>
      <c r="B97" s="159" t="s">
        <v>198</v>
      </c>
      <c r="C97" s="88" t="s">
        <v>99</v>
      </c>
      <c r="D97" s="88"/>
      <c r="E97" s="88" t="s">
        <v>99</v>
      </c>
      <c r="F97" s="89" t="s">
        <v>224</v>
      </c>
      <c r="G97" s="113">
        <f xml:space="preserve"> 0.0000038</f>
        <v>3.8E-6</v>
      </c>
      <c r="H97" s="117">
        <f t="shared" si="3"/>
        <v>1.5200000000000001E-3</v>
      </c>
      <c r="I97" s="159" t="s">
        <v>198</v>
      </c>
      <c r="J97" s="88" t="s">
        <v>99</v>
      </c>
      <c r="K97" s="88"/>
      <c r="L97" s="88" t="s">
        <v>99</v>
      </c>
      <c r="M97" s="89" t="s">
        <v>224</v>
      </c>
      <c r="N97" s="113">
        <f xml:space="preserve"> 0.000011</f>
        <v>1.1E-5</v>
      </c>
      <c r="O97" s="235">
        <f t="shared" si="4"/>
        <v>4.4000000000000003E-3</v>
      </c>
      <c r="X97" s="69"/>
    </row>
    <row r="98" spans="1:24" x14ac:dyDescent="0.2">
      <c r="A98" s="101"/>
      <c r="B98" s="159" t="s">
        <v>199</v>
      </c>
      <c r="C98" s="88" t="s">
        <v>99</v>
      </c>
      <c r="D98" s="88"/>
      <c r="E98" s="88" t="s">
        <v>99</v>
      </c>
      <c r="F98" s="89" t="s">
        <v>225</v>
      </c>
      <c r="G98" s="113">
        <f xml:space="preserve"> 0.000000007</f>
        <v>6.9999999999999998E-9</v>
      </c>
      <c r="H98" s="117">
        <f t="shared" si="3"/>
        <v>2.7999999999999999E-6</v>
      </c>
      <c r="I98" s="159" t="s">
        <v>199</v>
      </c>
      <c r="J98" s="88" t="s">
        <v>99</v>
      </c>
      <c r="K98" s="88"/>
      <c r="L98" s="88" t="s">
        <v>99</v>
      </c>
      <c r="M98" s="89" t="s">
        <v>225</v>
      </c>
      <c r="N98" s="113">
        <f xml:space="preserve"> 0.000000007</f>
        <v>6.9999999999999998E-9</v>
      </c>
      <c r="O98" s="235">
        <f t="shared" si="4"/>
        <v>2.7999999999999999E-6</v>
      </c>
      <c r="X98" s="69"/>
    </row>
    <row r="99" spans="1:24" x14ac:dyDescent="0.2">
      <c r="A99" s="101"/>
      <c r="B99" s="159" t="s">
        <v>200</v>
      </c>
      <c r="C99" s="88" t="s">
        <v>99</v>
      </c>
      <c r="D99" s="88"/>
      <c r="E99" s="88" t="s">
        <v>99</v>
      </c>
      <c r="F99" s="89" t="s">
        <v>226</v>
      </c>
      <c r="G99" s="113">
        <f xml:space="preserve"> 0.00009</f>
        <v>9.0000000000000006E-5</v>
      </c>
      <c r="H99" s="117">
        <f t="shared" si="3"/>
        <v>3.6000000000000004E-2</v>
      </c>
      <c r="I99" s="159" t="s">
        <v>200</v>
      </c>
      <c r="J99" s="88" t="s">
        <v>99</v>
      </c>
      <c r="K99" s="88"/>
      <c r="L99" s="88" t="s">
        <v>99</v>
      </c>
      <c r="M99" s="89" t="s">
        <v>226</v>
      </c>
      <c r="N99" s="113">
        <f xml:space="preserve"> 0.00065</f>
        <v>6.4999999999999997E-4</v>
      </c>
      <c r="O99" s="235">
        <f t="shared" si="4"/>
        <v>0.26</v>
      </c>
      <c r="X99" s="69"/>
    </row>
    <row r="100" spans="1:24" x14ac:dyDescent="0.2">
      <c r="A100" s="101"/>
      <c r="B100" s="159" t="s">
        <v>201</v>
      </c>
      <c r="C100" s="88"/>
      <c r="D100" s="88"/>
      <c r="E100" s="88" t="s">
        <v>99</v>
      </c>
      <c r="F100" s="89" t="s">
        <v>171</v>
      </c>
      <c r="G100" s="113">
        <f>0.0000000088</f>
        <v>8.7999999999999994E-9</v>
      </c>
      <c r="H100" s="117">
        <f t="shared" si="3"/>
        <v>3.5199999999999998E-6</v>
      </c>
      <c r="I100" s="159" t="s">
        <v>201</v>
      </c>
      <c r="J100" s="88"/>
      <c r="K100" s="88"/>
      <c r="L100" s="88" t="s">
        <v>99</v>
      </c>
      <c r="M100" s="89" t="s">
        <v>171</v>
      </c>
      <c r="N100" s="113">
        <f xml:space="preserve"> 0.0000000088</f>
        <v>8.7999999999999994E-9</v>
      </c>
      <c r="O100" s="235">
        <f t="shared" si="4"/>
        <v>3.5199999999999998E-6</v>
      </c>
      <c r="X100" s="69"/>
    </row>
    <row r="101" spans="1:24" x14ac:dyDescent="0.2">
      <c r="A101" s="101"/>
      <c r="B101" s="159" t="s">
        <v>202</v>
      </c>
      <c r="C101" s="88" t="s">
        <v>99</v>
      </c>
      <c r="D101" s="88"/>
      <c r="E101" s="88" t="s">
        <v>99</v>
      </c>
      <c r="F101" s="89" t="s">
        <v>227</v>
      </c>
      <c r="G101" s="113">
        <f xml:space="preserve"> 0.0000076</f>
        <v>7.6000000000000001E-6</v>
      </c>
      <c r="H101" s="117">
        <f t="shared" si="3"/>
        <v>3.0400000000000002E-3</v>
      </c>
      <c r="I101" s="159" t="s">
        <v>202</v>
      </c>
      <c r="J101" s="88" t="s">
        <v>99</v>
      </c>
      <c r="K101" s="88"/>
      <c r="L101" s="88" t="s">
        <v>99</v>
      </c>
      <c r="M101" s="89" t="s">
        <v>227</v>
      </c>
      <c r="N101" s="113">
        <f xml:space="preserve"> 0.000023</f>
        <v>2.3E-5</v>
      </c>
      <c r="O101" s="235">
        <f t="shared" si="4"/>
        <v>9.1999999999999998E-3</v>
      </c>
      <c r="X101" s="69"/>
    </row>
    <row r="102" spans="1:24" ht="13.5" thickBot="1" x14ac:dyDescent="0.25">
      <c r="A102" s="101"/>
      <c r="B102" s="160" t="s">
        <v>203</v>
      </c>
      <c r="C102" s="97" t="s">
        <v>99</v>
      </c>
      <c r="D102" s="97"/>
      <c r="E102" s="97" t="s">
        <v>99</v>
      </c>
      <c r="F102" s="98" t="s">
        <v>228</v>
      </c>
      <c r="G102" s="114">
        <f xml:space="preserve"> 0.00000054</f>
        <v>5.4000000000000002E-7</v>
      </c>
      <c r="H102" s="118">
        <f t="shared" si="3"/>
        <v>2.1600000000000002E-4</v>
      </c>
      <c r="I102" s="159" t="s">
        <v>203</v>
      </c>
      <c r="J102" s="88" t="s">
        <v>99</v>
      </c>
      <c r="K102" s="88"/>
      <c r="L102" s="88" t="s">
        <v>99</v>
      </c>
      <c r="M102" s="89" t="s">
        <v>228</v>
      </c>
      <c r="N102" s="113">
        <f xml:space="preserve"> 0.000003</f>
        <v>3.0000000000000001E-6</v>
      </c>
      <c r="O102" s="235">
        <f t="shared" si="4"/>
        <v>1.2000000000000001E-3</v>
      </c>
      <c r="X102" s="69"/>
    </row>
    <row r="103" spans="1:24" ht="13.5" thickTop="1" x14ac:dyDescent="0.2">
      <c r="A103" s="84"/>
      <c r="B103" s="184"/>
      <c r="C103" s="172"/>
      <c r="D103" s="172"/>
      <c r="E103" s="172"/>
      <c r="F103" s="99"/>
      <c r="G103" s="185"/>
      <c r="H103" s="186"/>
      <c r="I103" s="182" t="s">
        <v>351</v>
      </c>
      <c r="J103" s="88" t="s">
        <v>99</v>
      </c>
      <c r="K103" s="88" t="s">
        <v>99</v>
      </c>
      <c r="L103" s="88"/>
      <c r="M103" s="89" t="s">
        <v>352</v>
      </c>
      <c r="N103" s="189">
        <f xml:space="preserve"> 0.00000000000021</f>
        <v>2.0999999999999999E-13</v>
      </c>
      <c r="O103" s="235">
        <f t="shared" si="4"/>
        <v>8.3999999999999994E-11</v>
      </c>
      <c r="X103" s="69"/>
    </row>
    <row r="104" spans="1:24" x14ac:dyDescent="0.2">
      <c r="A104" s="181"/>
      <c r="B104" s="173"/>
      <c r="C104" s="181"/>
      <c r="D104" s="181"/>
      <c r="E104" s="181"/>
      <c r="F104" s="173"/>
      <c r="G104" s="187"/>
      <c r="H104" s="188"/>
      <c r="I104" s="183" t="s">
        <v>35</v>
      </c>
      <c r="J104" s="107" t="s">
        <v>99</v>
      </c>
      <c r="K104" s="94"/>
      <c r="L104" s="94"/>
      <c r="M104" s="89" t="s">
        <v>243</v>
      </c>
      <c r="N104" s="113">
        <v>7.8999999999999999E-11</v>
      </c>
      <c r="O104" s="235">
        <f t="shared" si="4"/>
        <v>3.1599999999999998E-8</v>
      </c>
      <c r="X104" s="69"/>
    </row>
    <row r="105" spans="1:24" ht="13.5" thickBot="1" x14ac:dyDescent="0.25">
      <c r="B105" s="67"/>
      <c r="F105" s="67"/>
      <c r="G105" s="68"/>
      <c r="I105" s="108" t="s">
        <v>35</v>
      </c>
      <c r="J105" s="109" t="s">
        <v>99</v>
      </c>
      <c r="K105" s="75"/>
      <c r="L105" s="75"/>
      <c r="M105" s="110" t="s">
        <v>241</v>
      </c>
      <c r="N105" s="111">
        <v>3.9999999999999998E-11</v>
      </c>
      <c r="O105" s="240">
        <f t="shared" si="4"/>
        <v>1.5999999999999998E-8</v>
      </c>
      <c r="X105" s="69"/>
    </row>
    <row r="106" spans="1:24" ht="14.25" thickTop="1" thickBot="1" x14ac:dyDescent="0.25">
      <c r="B106" s="67"/>
      <c r="F106" s="67"/>
      <c r="G106" s="68"/>
      <c r="N106" s="67"/>
      <c r="X106" s="69"/>
    </row>
    <row r="107" spans="1:24" ht="14.25" thickTop="1" thickBot="1" x14ac:dyDescent="0.25">
      <c r="A107" s="100" t="s">
        <v>21</v>
      </c>
      <c r="B107" s="641" t="s">
        <v>404</v>
      </c>
      <c r="C107" s="638"/>
      <c r="D107" s="638"/>
      <c r="E107" s="638"/>
      <c r="F107" s="638"/>
      <c r="G107" s="638"/>
      <c r="H107" s="642"/>
      <c r="J107" s="69"/>
    </row>
    <row r="108" spans="1:24" x14ac:dyDescent="0.2">
      <c r="A108" s="101"/>
      <c r="B108" s="628" t="s">
        <v>75</v>
      </c>
      <c r="C108" s="617" t="s">
        <v>78</v>
      </c>
      <c r="D108" s="620" t="s">
        <v>79</v>
      </c>
      <c r="E108" s="623" t="s">
        <v>169</v>
      </c>
      <c r="F108" s="628" t="s">
        <v>4</v>
      </c>
      <c r="G108" s="85" t="s">
        <v>5</v>
      </c>
      <c r="H108" s="92" t="s">
        <v>8</v>
      </c>
      <c r="J108" s="69"/>
    </row>
    <row r="109" spans="1:24" ht="13.5" thickBot="1" x14ac:dyDescent="0.25">
      <c r="A109" s="101"/>
      <c r="B109" s="630"/>
      <c r="C109" s="619"/>
      <c r="D109" s="622"/>
      <c r="E109" s="625"/>
      <c r="F109" s="630"/>
      <c r="G109" s="24" t="s">
        <v>6</v>
      </c>
      <c r="H109" s="93" t="s">
        <v>9</v>
      </c>
      <c r="J109" s="69"/>
    </row>
    <row r="110" spans="1:24" ht="13.5" thickBot="1" x14ac:dyDescent="0.25">
      <c r="A110" s="6"/>
      <c r="B110" s="344" t="s">
        <v>469</v>
      </c>
      <c r="C110" s="345" t="s">
        <v>99</v>
      </c>
      <c r="D110" s="345" t="s">
        <v>99</v>
      </c>
      <c r="E110" s="345"/>
      <c r="F110" s="346" t="s">
        <v>470</v>
      </c>
      <c r="G110" s="347">
        <v>2.1000000000000001E-4</v>
      </c>
      <c r="H110" s="348">
        <f>$B$6*G110</f>
        <v>8.4000000000000005E-2</v>
      </c>
      <c r="J110" s="69"/>
    </row>
    <row r="111" spans="1:24" ht="13.5" thickTop="1" x14ac:dyDescent="0.2"/>
    <row r="112" spans="1:24" x14ac:dyDescent="0.2">
      <c r="O112" s="69"/>
    </row>
    <row r="113" spans="15:15" x14ac:dyDescent="0.2">
      <c r="O113" s="69"/>
    </row>
    <row r="114" spans="15:15" x14ac:dyDescent="0.2">
      <c r="O114" s="69"/>
    </row>
    <row r="115" spans="15:15" x14ac:dyDescent="0.2">
      <c r="O115" s="69"/>
    </row>
    <row r="116" spans="15:15" x14ac:dyDescent="0.2">
      <c r="O116" s="69"/>
    </row>
    <row r="117" spans="15:15" x14ac:dyDescent="0.2">
      <c r="O117" s="69"/>
    </row>
    <row r="118" spans="15:15" x14ac:dyDescent="0.2">
      <c r="O118" s="69"/>
    </row>
    <row r="119" spans="15:15" x14ac:dyDescent="0.2">
      <c r="O119" s="69"/>
    </row>
    <row r="120" spans="15:15" x14ac:dyDescent="0.2">
      <c r="O120" s="69"/>
    </row>
    <row r="121" spans="15:15" x14ac:dyDescent="0.2">
      <c r="O121" s="69"/>
    </row>
    <row r="122" spans="15:15" x14ac:dyDescent="0.2">
      <c r="O122" s="69"/>
    </row>
    <row r="123" spans="15:15" x14ac:dyDescent="0.2">
      <c r="O123" s="69"/>
    </row>
    <row r="124" spans="15:15" x14ac:dyDescent="0.2">
      <c r="O124" s="69"/>
    </row>
    <row r="125" spans="15:15" x14ac:dyDescent="0.2">
      <c r="O125" s="69"/>
    </row>
    <row r="126" spans="15:15" x14ac:dyDescent="0.2">
      <c r="O126" s="69"/>
    </row>
  </sheetData>
  <mergeCells count="46">
    <mergeCell ref="M75:M76"/>
    <mergeCell ref="L75:L76"/>
    <mergeCell ref="P75:P76"/>
    <mergeCell ref="Q75:Q76"/>
    <mergeCell ref="R75:R76"/>
    <mergeCell ref="S75:S76"/>
    <mergeCell ref="D75:D76"/>
    <mergeCell ref="E75:E76"/>
    <mergeCell ref="A1:J1"/>
    <mergeCell ref="A2:J2"/>
    <mergeCell ref="D60:D61"/>
    <mergeCell ref="J60:J61"/>
    <mergeCell ref="J75:J76"/>
    <mergeCell ref="I75:I76"/>
    <mergeCell ref="B73:V73"/>
    <mergeCell ref="T75:T76"/>
    <mergeCell ref="K75:K76"/>
    <mergeCell ref="P74:V74"/>
    <mergeCell ref="F75:F76"/>
    <mergeCell ref="B74:H74"/>
    <mergeCell ref="B75:B76"/>
    <mergeCell ref="M60:M61"/>
    <mergeCell ref="L60:L61"/>
    <mergeCell ref="F60:F61"/>
    <mergeCell ref="E60:E61"/>
    <mergeCell ref="C75:C76"/>
    <mergeCell ref="E9:E10"/>
    <mergeCell ref="F9:F10"/>
    <mergeCell ref="I74:O74"/>
    <mergeCell ref="K60:K61"/>
    <mergeCell ref="B58:O58"/>
    <mergeCell ref="B59:H59"/>
    <mergeCell ref="I59:O59"/>
    <mergeCell ref="C60:C61"/>
    <mergeCell ref="B60:B61"/>
    <mergeCell ref="I60:I61"/>
    <mergeCell ref="A3:J3"/>
    <mergeCell ref="D108:D109"/>
    <mergeCell ref="E108:E109"/>
    <mergeCell ref="F108:F109"/>
    <mergeCell ref="B108:B109"/>
    <mergeCell ref="C108:C109"/>
    <mergeCell ref="B107:H107"/>
    <mergeCell ref="B9:B10"/>
    <mergeCell ref="C9:C10"/>
    <mergeCell ref="D9:D10"/>
  </mergeCells>
  <phoneticPr fontId="3" type="noConversion"/>
  <pageMargins left="0.75" right="0.75" top="1" bottom="1" header="0.5" footer="0.5"/>
  <pageSetup scale="86" orientation="portrait" r:id="rId1"/>
  <headerFooter alignWithMargins="0">
    <oddHeader>&amp;RDrum - Prod.Tox - &amp;D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EDAA5-8DCA-4AA5-90AE-236BC874C628}">
  <sheetPr codeName="Sheet14">
    <tabColor theme="1"/>
  </sheetPr>
  <dimension ref="A1:O42"/>
  <sheetViews>
    <sheetView zoomScaleNormal="100" workbookViewId="0">
      <selection activeCell="A2" sqref="A2:J2"/>
    </sheetView>
  </sheetViews>
  <sheetFormatPr defaultRowHeight="12.75" x14ac:dyDescent="0.2"/>
  <cols>
    <col min="1" max="1" width="13.7109375" customWidth="1"/>
    <col min="2" max="2" width="10.140625" customWidth="1"/>
    <col min="3" max="3" width="9.85546875" bestFit="1" customWidth="1"/>
    <col min="4" max="4" width="10.85546875" customWidth="1"/>
    <col min="5" max="5" width="12.42578125" customWidth="1"/>
    <col min="6" max="6" width="12.7109375" customWidth="1"/>
    <col min="7" max="7" width="10.85546875" customWidth="1"/>
    <col min="8" max="9" width="9.7109375" bestFit="1" customWidth="1"/>
  </cols>
  <sheetData>
    <row r="1" spans="1:15" ht="20.25" x14ac:dyDescent="0.3">
      <c r="A1" s="598" t="s">
        <v>509</v>
      </c>
      <c r="B1" s="598"/>
      <c r="C1" s="598"/>
      <c r="D1" s="598"/>
      <c r="E1" s="598"/>
      <c r="F1" s="598"/>
      <c r="G1" s="598"/>
      <c r="H1" s="598"/>
      <c r="I1" s="598"/>
      <c r="J1" s="598"/>
      <c r="K1" s="466"/>
      <c r="L1" s="466"/>
      <c r="M1" s="466"/>
      <c r="N1" s="466"/>
      <c r="O1" s="466"/>
    </row>
    <row r="2" spans="1:15" x14ac:dyDescent="0.2">
      <c r="A2" s="599">
        <v>40876</v>
      </c>
      <c r="B2" s="599"/>
      <c r="C2" s="599"/>
      <c r="D2" s="599"/>
      <c r="E2" s="599"/>
      <c r="F2" s="599"/>
      <c r="G2" s="599"/>
      <c r="H2" s="599"/>
      <c r="I2" s="599"/>
      <c r="J2" s="599"/>
      <c r="K2" s="467"/>
      <c r="L2" s="467"/>
      <c r="M2" s="467"/>
      <c r="N2" s="467"/>
      <c r="O2" s="467"/>
    </row>
    <row r="3" spans="1:15" ht="38.25" customHeight="1" x14ac:dyDescent="0.2">
      <c r="A3" s="606" t="s">
        <v>522</v>
      </c>
      <c r="B3" s="606"/>
      <c r="C3" s="606"/>
      <c r="D3" s="606"/>
      <c r="E3" s="606"/>
      <c r="F3" s="606"/>
      <c r="G3" s="606"/>
      <c r="H3" s="606"/>
      <c r="I3" s="606"/>
      <c r="J3" s="606"/>
      <c r="K3" s="467"/>
      <c r="L3" s="467"/>
      <c r="M3" s="467"/>
      <c r="N3" s="467"/>
      <c r="O3" s="467"/>
    </row>
    <row r="5" spans="1:15" x14ac:dyDescent="0.2">
      <c r="B5" s="1" t="s">
        <v>494</v>
      </c>
      <c r="G5" s="146" t="s">
        <v>255</v>
      </c>
    </row>
    <row r="6" spans="1:15" x14ac:dyDescent="0.2">
      <c r="B6" s="449">
        <f>Inputs!D17</f>
        <v>75</v>
      </c>
      <c r="C6" s="65" t="s">
        <v>495</v>
      </c>
      <c r="G6" s="3" t="s">
        <v>22</v>
      </c>
      <c r="J6" s="146"/>
    </row>
    <row r="7" spans="1:15" x14ac:dyDescent="0.2">
      <c r="B7" s="465">
        <f>Inputs!D41</f>
        <v>2.2000000000000002</v>
      </c>
      <c r="C7" s="65" t="s">
        <v>496</v>
      </c>
      <c r="J7" s="3"/>
    </row>
    <row r="8" spans="1:15" x14ac:dyDescent="0.2">
      <c r="B8" s="450">
        <f>'Output - Criteria'!D8/Inputs!D16</f>
        <v>3744.8</v>
      </c>
      <c r="C8" t="s">
        <v>389</v>
      </c>
    </row>
    <row r="9" spans="1:15" ht="13.5" thickBot="1" x14ac:dyDescent="0.25"/>
    <row r="10" spans="1:15" ht="13.5" thickTop="1" x14ac:dyDescent="0.2">
      <c r="B10" s="145" t="s">
        <v>501</v>
      </c>
      <c r="C10" s="604" t="s">
        <v>4</v>
      </c>
      <c r="D10" s="601" t="s">
        <v>357</v>
      </c>
      <c r="E10" s="603"/>
      <c r="F10" s="601" t="s">
        <v>358</v>
      </c>
      <c r="G10" s="602"/>
    </row>
    <row r="11" spans="1:15" ht="13.5" thickBot="1" x14ac:dyDescent="0.25">
      <c r="C11" s="605"/>
      <c r="D11" s="8" t="s">
        <v>9</v>
      </c>
      <c r="E11" s="9" t="s">
        <v>10</v>
      </c>
      <c r="F11" s="8" t="s">
        <v>9</v>
      </c>
      <c r="G11" s="10" t="s">
        <v>10</v>
      </c>
    </row>
    <row r="12" spans="1:15" x14ac:dyDescent="0.2">
      <c r="C12" s="434" t="s">
        <v>472</v>
      </c>
      <c r="D12" s="451">
        <f>MAX(B36:B41)</f>
        <v>12235.641</v>
      </c>
      <c r="E12" s="451">
        <f>D12*8760/2000</f>
        <v>53592.107579999996</v>
      </c>
      <c r="F12" s="451">
        <f>MAX(B36:B41)</f>
        <v>12235.641</v>
      </c>
      <c r="G12" s="452">
        <f>F12*$B$8/2000</f>
        <v>22910.0142084</v>
      </c>
    </row>
    <row r="13" spans="1:15" x14ac:dyDescent="0.2">
      <c r="C13" s="152" t="s">
        <v>473</v>
      </c>
      <c r="D13" s="404">
        <f>MAX(C36:C41)</f>
        <v>0.49603949999999997</v>
      </c>
      <c r="E13" s="444">
        <f>D13*8760/2000</f>
        <v>2.1726530099999999</v>
      </c>
      <c r="F13" s="404">
        <f>MAX(C36:C41)</f>
        <v>0.49603949999999997</v>
      </c>
      <c r="G13" s="445">
        <f>F13*$B$8/2000</f>
        <v>0.92878435979999996</v>
      </c>
    </row>
    <row r="14" spans="1:15" ht="13.5" thickBot="1" x14ac:dyDescent="0.25">
      <c r="C14" s="416" t="s">
        <v>474</v>
      </c>
      <c r="D14" s="446">
        <f>MAX(D36:D41)</f>
        <v>9.9207899999999988E-2</v>
      </c>
      <c r="E14" s="447">
        <f>D14*8760/2000</f>
        <v>0.43453060199999993</v>
      </c>
      <c r="F14" s="446">
        <f>MAX(D36:D41)</f>
        <v>9.9207899999999988E-2</v>
      </c>
      <c r="G14" s="448">
        <f>F14*$B$8/2000</f>
        <v>0.18575687195999999</v>
      </c>
    </row>
    <row r="15" spans="1:15" ht="14.25" thickTop="1" thickBot="1" x14ac:dyDescent="0.25"/>
    <row r="16" spans="1:15" ht="13.5" thickTop="1" x14ac:dyDescent="0.2">
      <c r="B16" s="145" t="s">
        <v>502</v>
      </c>
      <c r="C16" s="604" t="s">
        <v>4</v>
      </c>
      <c r="D16" s="601" t="s">
        <v>357</v>
      </c>
      <c r="E16" s="603"/>
      <c r="F16" s="601" t="s">
        <v>358</v>
      </c>
      <c r="G16" s="602"/>
    </row>
    <row r="17" spans="1:7" ht="13.5" thickBot="1" x14ac:dyDescent="0.25">
      <c r="C17" s="605"/>
      <c r="D17" s="8" t="s">
        <v>9</v>
      </c>
      <c r="E17" s="9" t="s">
        <v>10</v>
      </c>
      <c r="F17" s="8" t="s">
        <v>9</v>
      </c>
      <c r="G17" s="10" t="s">
        <v>10</v>
      </c>
    </row>
    <row r="18" spans="1:7" x14ac:dyDescent="0.2">
      <c r="C18" s="434" t="s">
        <v>472</v>
      </c>
      <c r="D18" s="451">
        <f>MAX(G36:G41)</f>
        <v>358.71812943999993</v>
      </c>
      <c r="E18" s="451">
        <f>D18*8760/2000</f>
        <v>1571.1854069471997</v>
      </c>
      <c r="F18" s="451"/>
      <c r="G18" s="452"/>
    </row>
    <row r="19" spans="1:7" x14ac:dyDescent="0.2">
      <c r="C19" s="152" t="s">
        <v>473</v>
      </c>
      <c r="D19" s="404">
        <f>MAX(H36:H41)</f>
        <v>1.4550492E-2</v>
      </c>
      <c r="E19" s="444">
        <f>D19*8760/2000</f>
        <v>6.3731154959999994E-2</v>
      </c>
      <c r="F19" s="404"/>
      <c r="G19" s="445"/>
    </row>
    <row r="20" spans="1:7" ht="13.5" thickBot="1" x14ac:dyDescent="0.25">
      <c r="C20" s="416" t="s">
        <v>474</v>
      </c>
      <c r="D20" s="446">
        <f>MAX(I36:I41)</f>
        <v>2.9100983999999996E-3</v>
      </c>
      <c r="E20" s="447">
        <f>D20*8760/2000</f>
        <v>1.2746230991999997E-2</v>
      </c>
      <c r="F20" s="446"/>
      <c r="G20" s="448"/>
    </row>
    <row r="21" spans="1:7" ht="13.5" thickTop="1" x14ac:dyDescent="0.2"/>
    <row r="22" spans="1:7" x14ac:dyDescent="0.2">
      <c r="A22" t="s">
        <v>503</v>
      </c>
    </row>
    <row r="23" spans="1:7" ht="13.5" thickBot="1" x14ac:dyDescent="0.25"/>
    <row r="24" spans="1:7" ht="13.5" thickTop="1" x14ac:dyDescent="0.2">
      <c r="B24" s="664" t="s">
        <v>497</v>
      </c>
      <c r="C24" s="665"/>
      <c r="D24" s="666"/>
    </row>
    <row r="25" spans="1:7" ht="15" thickBot="1" x14ac:dyDescent="0.3">
      <c r="A25" s="65"/>
      <c r="B25" s="433" t="s">
        <v>498</v>
      </c>
      <c r="C25" s="423" t="s">
        <v>499</v>
      </c>
      <c r="D25" s="424" t="s">
        <v>500</v>
      </c>
    </row>
    <row r="26" spans="1:7" ht="13.5" thickTop="1" x14ac:dyDescent="0.2">
      <c r="A26" s="430" t="s">
        <v>20</v>
      </c>
      <c r="B26" s="427">
        <v>53.02</v>
      </c>
      <c r="C26" s="425">
        <v>1E-3</v>
      </c>
      <c r="D26" s="426">
        <v>1E-4</v>
      </c>
    </row>
    <row r="27" spans="1:7" x14ac:dyDescent="0.2">
      <c r="A27" s="431" t="s">
        <v>504</v>
      </c>
      <c r="B27" s="428">
        <v>73.959999999999994</v>
      </c>
      <c r="C27" s="422">
        <v>3.0000000000000001E-3</v>
      </c>
      <c r="D27" s="380">
        <v>5.9999999999999995E-4</v>
      </c>
    </row>
    <row r="28" spans="1:7" x14ac:dyDescent="0.2">
      <c r="A28" s="431" t="s">
        <v>505</v>
      </c>
      <c r="B28" s="428">
        <v>75.040000000000006</v>
      </c>
      <c r="C28" s="422">
        <v>3.0000000000000001E-3</v>
      </c>
      <c r="D28" s="380">
        <v>5.9999999999999995E-4</v>
      </c>
    </row>
    <row r="29" spans="1:7" x14ac:dyDescent="0.2">
      <c r="A29" s="431" t="s">
        <v>506</v>
      </c>
      <c r="B29" s="428">
        <v>72.930000000000007</v>
      </c>
      <c r="C29" s="422">
        <v>3.0000000000000001E-3</v>
      </c>
      <c r="D29" s="380">
        <v>5.9999999999999995E-4</v>
      </c>
    </row>
    <row r="30" spans="1:7" x14ac:dyDescent="0.2">
      <c r="A30" s="431" t="s">
        <v>507</v>
      </c>
      <c r="B30" s="428">
        <v>75.099999999999994</v>
      </c>
      <c r="C30" s="422">
        <v>3.0000000000000001E-3</v>
      </c>
      <c r="D30" s="380">
        <v>5.9999999999999995E-4</v>
      </c>
    </row>
    <row r="31" spans="1:7" ht="13.5" thickBot="1" x14ac:dyDescent="0.25">
      <c r="A31" s="432" t="s">
        <v>367</v>
      </c>
      <c r="B31" s="429">
        <v>74</v>
      </c>
      <c r="C31" s="306">
        <v>3.0000000000000001E-3</v>
      </c>
      <c r="D31" s="304">
        <v>5.9999999999999995E-4</v>
      </c>
    </row>
    <row r="32" spans="1:7" ht="13.5" thickTop="1" x14ac:dyDescent="0.2"/>
    <row r="33" spans="1:9" ht="14.25" customHeight="1" thickBot="1" x14ac:dyDescent="0.25">
      <c r="A33" s="1" t="s">
        <v>436</v>
      </c>
      <c r="F33" s="1" t="s">
        <v>465</v>
      </c>
    </row>
    <row r="34" spans="1:9" ht="15.75" customHeight="1" thickTop="1" x14ac:dyDescent="0.2">
      <c r="B34" s="664" t="s">
        <v>508</v>
      </c>
      <c r="C34" s="665"/>
      <c r="D34" s="666"/>
      <c r="G34" s="664" t="s">
        <v>508</v>
      </c>
      <c r="H34" s="665"/>
      <c r="I34" s="666"/>
    </row>
    <row r="35" spans="1:9" ht="15" thickBot="1" x14ac:dyDescent="0.3">
      <c r="A35" s="65"/>
      <c r="B35" s="433" t="s">
        <v>498</v>
      </c>
      <c r="C35" s="423" t="s">
        <v>499</v>
      </c>
      <c r="D35" s="424" t="s">
        <v>500</v>
      </c>
      <c r="F35" s="65"/>
      <c r="G35" s="433" t="s">
        <v>498</v>
      </c>
      <c r="H35" s="423" t="s">
        <v>499</v>
      </c>
      <c r="I35" s="424" t="s">
        <v>500</v>
      </c>
    </row>
    <row r="36" spans="1:9" ht="13.5" thickTop="1" x14ac:dyDescent="0.2">
      <c r="A36" s="430" t="s">
        <v>20</v>
      </c>
      <c r="B36" s="435">
        <f>IF(Inputs!$D20="Y",GHG!$B$6*GHG!B26*2.20462,"")</f>
        <v>8766.6714300000003</v>
      </c>
      <c r="C36" s="436">
        <f>IF(Inputs!$D20="Y",GHG!$B$6*GHG!C26*2.20462,"")</f>
        <v>0.16534649999999998</v>
      </c>
      <c r="D36" s="437">
        <f>IF(Inputs!$D20="Y",GHG!$B$6*GHG!D26*2.20462,"")</f>
        <v>1.6534650000000001E-2</v>
      </c>
      <c r="F36" s="430" t="s">
        <v>20</v>
      </c>
      <c r="G36" s="435">
        <f>IF(Inputs!$D43="Y",GHG!$B$7*GHG!B26*2.20462,"")</f>
        <v>257.15569528000003</v>
      </c>
      <c r="H36" s="436">
        <f>IF(Inputs!$D43="Y",GHG!$B$7*GHG!C26*2.20462,"")</f>
        <v>4.8501639999999997E-3</v>
      </c>
      <c r="I36" s="437">
        <f>IF(Inputs!$D43="Y",GHG!$B$7*GHG!D26*2.20462,"")</f>
        <v>4.8501640000000003E-4</v>
      </c>
    </row>
    <row r="37" spans="1:9" x14ac:dyDescent="0.2">
      <c r="A37" s="431" t="s">
        <v>504</v>
      </c>
      <c r="B37" s="438">
        <f>IF(Inputs!$D21="Y",GHG!$B$6*GHG!B27*2.20462,"")</f>
        <v>12229.027139999997</v>
      </c>
      <c r="C37" s="439">
        <f>IF(Inputs!$D21="Y",GHG!$B$6*GHG!C27*2.20462,"")</f>
        <v>0.49603949999999997</v>
      </c>
      <c r="D37" s="440">
        <f>IF(Inputs!$D21="Y",GHG!$B$6*GHG!D27*2.20462,"")</f>
        <v>9.9207899999999988E-2</v>
      </c>
      <c r="F37" s="431" t="s">
        <v>504</v>
      </c>
      <c r="G37" s="438">
        <f>IF(Inputs!$D44="Y",GHG!$B$7*GHG!B27*2.20462,"")</f>
        <v>358.71812943999993</v>
      </c>
      <c r="H37" s="439">
        <f>IF(Inputs!$D44="Y",GHG!$B$7*GHG!C27*2.20462,"")</f>
        <v>1.4550492E-2</v>
      </c>
      <c r="I37" s="440">
        <f>IF(Inputs!$D44="Y",GHG!$B$7*GHG!D27*2.20462,"")</f>
        <v>2.9100983999999996E-3</v>
      </c>
    </row>
    <row r="38" spans="1:9" x14ac:dyDescent="0.2">
      <c r="A38" s="431" t="s">
        <v>505</v>
      </c>
      <c r="B38" s="438" t="str">
        <f>IF(Inputs!$D22="Y",GHG!$B$6*GHG!B28*2.20462,"")</f>
        <v/>
      </c>
      <c r="C38" s="439" t="str">
        <f>IF(Inputs!$D22="Y",GHG!$B$6*GHG!C28*2.20462,"")</f>
        <v/>
      </c>
      <c r="D38" s="440" t="str">
        <f>IF(Inputs!$D22="Y",GHG!$B$6*GHG!D28*2.20462,"")</f>
        <v/>
      </c>
      <c r="F38" s="431" t="s">
        <v>505</v>
      </c>
      <c r="G38" s="438" t="str">
        <f>IF(Inputs!$D45="Y",GHG!$B$7*GHG!B28*2.20462,"")</f>
        <v/>
      </c>
      <c r="H38" s="439" t="str">
        <f>IF(Inputs!$D45="Y",GHG!$B$7*GHG!C28*2.20462,"")</f>
        <v/>
      </c>
      <c r="I38" s="440" t="str">
        <f>IF(Inputs!$D45="Y",GHG!$B$7*GHG!D28*2.20462,"")</f>
        <v/>
      </c>
    </row>
    <row r="39" spans="1:9" x14ac:dyDescent="0.2">
      <c r="A39" s="431" t="s">
        <v>506</v>
      </c>
      <c r="B39" s="438" t="str">
        <f>IF(Inputs!$D23="Y",GHG!$B$6*GHG!B29*2.20462,"")</f>
        <v/>
      </c>
      <c r="C39" s="439" t="str">
        <f>IF(Inputs!$D23="Y",GHG!$B$6*GHG!C29*2.20462,"")</f>
        <v/>
      </c>
      <c r="D39" s="440" t="str">
        <f>IF(Inputs!$D23="Y",GHG!$B$6*GHG!D29*2.20462,"")</f>
        <v/>
      </c>
      <c r="F39" s="431" t="s">
        <v>506</v>
      </c>
      <c r="G39" s="438" t="str">
        <f>IF(Inputs!$D46="Y",GHG!$B$7*GHG!B29*2.20462,"")</f>
        <v/>
      </c>
      <c r="H39" s="439" t="str">
        <f>IF(Inputs!$D46="Y",GHG!$B$7*GHG!C29*2.20462,"")</f>
        <v/>
      </c>
      <c r="I39" s="440" t="str">
        <f>IF(Inputs!$D46="Y",GHG!$B$7*GHG!D29*2.20462,"")</f>
        <v/>
      </c>
    </row>
    <row r="40" spans="1:9" x14ac:dyDescent="0.2">
      <c r="A40" s="431" t="s">
        <v>507</v>
      </c>
      <c r="B40" s="438" t="str">
        <f>IF(Inputs!$D24="Y",GHG!$B$6*GHG!B30*2.20462,"")</f>
        <v/>
      </c>
      <c r="C40" s="439" t="str">
        <f>IF(Inputs!$D24="Y",GHG!$B$6*GHG!C30*2.20462,"")</f>
        <v/>
      </c>
      <c r="D40" s="440" t="str">
        <f>IF(Inputs!$D24="Y",GHG!$B$6*GHG!D30*2.20462,"")</f>
        <v/>
      </c>
      <c r="F40" s="431" t="s">
        <v>507</v>
      </c>
      <c r="G40" s="438" t="str">
        <f>IF(Inputs!$D47="Y",GHG!$B$7*GHG!B30*2.20462,"")</f>
        <v/>
      </c>
      <c r="H40" s="439" t="str">
        <f>IF(Inputs!$D47="Y",GHG!$B$7*GHG!C30*2.20462,"")</f>
        <v/>
      </c>
      <c r="I40" s="440" t="str">
        <f>IF(Inputs!$D47="Y",GHG!$B$7*GHG!D30*2.20462,"")</f>
        <v/>
      </c>
    </row>
    <row r="41" spans="1:9" ht="13.5" thickBot="1" x14ac:dyDescent="0.25">
      <c r="A41" s="432" t="s">
        <v>367</v>
      </c>
      <c r="B41" s="441">
        <f>IF(Inputs!$D25="Y",GHG!$B$6*GHG!B31*2.20462,"")</f>
        <v>12235.641</v>
      </c>
      <c r="C41" s="442">
        <f>IF(Inputs!$D25="Y",GHG!$B$6*GHG!C31*2.20462,"")</f>
        <v>0.49603949999999997</v>
      </c>
      <c r="D41" s="443">
        <f>IF(Inputs!$D25="Y",GHG!$B$6*GHG!D31*2.20462,"")</f>
        <v>9.9207899999999988E-2</v>
      </c>
      <c r="F41" s="432" t="s">
        <v>367</v>
      </c>
      <c r="G41" s="441" t="str">
        <f>IF(Inputs!$D48="Y",GHG!$B$7*GHG!B31*2.20462,"")</f>
        <v/>
      </c>
      <c r="H41" s="442" t="str">
        <f>IF(Inputs!$D48="Y",GHG!$B$7*GHG!C31*2.20462,"")</f>
        <v/>
      </c>
      <c r="I41" s="443" t="str">
        <f>IF(Inputs!$D48="Y",GHG!$B$7*GHG!D31*2.20462,"")</f>
        <v/>
      </c>
    </row>
    <row r="42" spans="1:9" ht="13.5" thickTop="1" x14ac:dyDescent="0.2"/>
  </sheetData>
  <mergeCells count="12">
    <mergeCell ref="B34:D34"/>
    <mergeCell ref="G34:I34"/>
    <mergeCell ref="C10:C11"/>
    <mergeCell ref="D10:E10"/>
    <mergeCell ref="F10:G10"/>
    <mergeCell ref="C16:C17"/>
    <mergeCell ref="D16:E16"/>
    <mergeCell ref="F16:G16"/>
    <mergeCell ref="B24:D24"/>
    <mergeCell ref="A3:J3"/>
    <mergeCell ref="A1:J1"/>
    <mergeCell ref="A2:J2"/>
  </mergeCells>
  <phoneticPr fontId="0" type="noConversion"/>
  <pageMargins left="0.7" right="0.7" top="0.75" bottom="0.75" header="0.3" footer="0.3"/>
  <pageSetup scale="83" orientation="portrait" horizontalDpi="1200" verticalDpi="1200" r:id="rId1"/>
  <headerFooter>
    <oddHeader>&amp;RGHG - &amp;D</oddHeader>
  </headerFooter>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4668-4D5C-4376-AB84-B908A108EBFF}">
  <sheetPr codeName="Sheet9">
    <tabColor indexed="8"/>
  </sheetPr>
  <dimension ref="A1:AC64"/>
  <sheetViews>
    <sheetView zoomScaleNormal="100" workbookViewId="0">
      <selection activeCell="A2" sqref="A2:K2"/>
    </sheetView>
  </sheetViews>
  <sheetFormatPr defaultRowHeight="12.75" x14ac:dyDescent="0.2"/>
  <cols>
    <col min="1" max="1" width="16.5703125" bestFit="1" customWidth="1"/>
    <col min="2" max="2" width="9.28515625" bestFit="1" customWidth="1"/>
    <col min="3" max="3" width="14.5703125" customWidth="1"/>
    <col min="4" max="4" width="11.5703125" bestFit="1" customWidth="1"/>
    <col min="5" max="5" width="10.42578125" bestFit="1" customWidth="1"/>
    <col min="6" max="6" width="9.85546875" bestFit="1" customWidth="1"/>
    <col min="7" max="7" width="14.5703125" customWidth="1"/>
    <col min="8" max="9" width="9.28515625" bestFit="1" customWidth="1"/>
    <col min="11" max="11" width="14.42578125" customWidth="1"/>
    <col min="12" max="13" width="9.28515625" bestFit="1" customWidth="1"/>
    <col min="15" max="15" width="14.42578125" customWidth="1"/>
    <col min="16" max="17" width="9.28515625" bestFit="1" customWidth="1"/>
    <col min="19" max="19" width="14.7109375" bestFit="1" customWidth="1"/>
    <col min="23" max="23" width="14.7109375" bestFit="1" customWidth="1"/>
  </cols>
  <sheetData>
    <row r="1" spans="1:15" ht="20.25" x14ac:dyDescent="0.3">
      <c r="A1" s="598" t="s">
        <v>509</v>
      </c>
      <c r="B1" s="598"/>
      <c r="C1" s="598"/>
      <c r="D1" s="598"/>
      <c r="E1" s="598"/>
      <c r="F1" s="598"/>
      <c r="G1" s="598"/>
      <c r="H1" s="598"/>
      <c r="I1" s="598"/>
      <c r="J1" s="598"/>
      <c r="K1" s="598"/>
      <c r="L1" s="466"/>
      <c r="M1" s="466"/>
      <c r="N1" s="466"/>
      <c r="O1" s="466"/>
    </row>
    <row r="2" spans="1:15" x14ac:dyDescent="0.2">
      <c r="A2" s="599">
        <v>40876</v>
      </c>
      <c r="B2" s="599"/>
      <c r="C2" s="599"/>
      <c r="D2" s="599"/>
      <c r="E2" s="599"/>
      <c r="F2" s="599"/>
      <c r="G2" s="599"/>
      <c r="H2" s="599"/>
      <c r="I2" s="599"/>
      <c r="J2" s="599"/>
      <c r="K2" s="599"/>
      <c r="L2" s="467"/>
      <c r="M2" s="467"/>
      <c r="N2" s="467"/>
      <c r="O2" s="467"/>
    </row>
    <row r="3" spans="1:15" ht="39" customHeight="1" x14ac:dyDescent="0.2">
      <c r="A3" s="606" t="s">
        <v>522</v>
      </c>
      <c r="B3" s="606"/>
      <c r="C3" s="606"/>
      <c r="D3" s="606"/>
      <c r="E3" s="606"/>
      <c r="F3" s="606"/>
      <c r="G3" s="606"/>
      <c r="H3" s="606"/>
      <c r="I3" s="606"/>
      <c r="J3" s="606"/>
      <c r="K3" s="606"/>
      <c r="L3" s="467"/>
      <c r="M3" s="467"/>
      <c r="N3" s="467"/>
      <c r="O3" s="467"/>
    </row>
    <row r="5" spans="1:15" x14ac:dyDescent="0.2">
      <c r="B5" s="1" t="s">
        <v>366</v>
      </c>
    </row>
    <row r="6" spans="1:15" x14ac:dyDescent="0.2">
      <c r="B6" s="146">
        <f>Inputs!D16</f>
        <v>400</v>
      </c>
      <c r="C6" t="s">
        <v>0</v>
      </c>
      <c r="H6" s="146" t="s">
        <v>255</v>
      </c>
    </row>
    <row r="7" spans="1:15" x14ac:dyDescent="0.2">
      <c r="B7" s="226">
        <f>Inputs!B76</f>
        <v>3744.8</v>
      </c>
      <c r="C7" t="s">
        <v>389</v>
      </c>
      <c r="H7" s="3" t="s">
        <v>22</v>
      </c>
    </row>
    <row r="9" spans="1:15" ht="13.5" thickBot="1" x14ac:dyDescent="0.25">
      <c r="C9" s="661" t="str">
        <f>IF(Inputs!$B$79=1,"DO NOT USE THESE, YOU SPECIFIED DRUM MIX IN THE INPUTS!","")</f>
        <v>DO NOT USE THESE, YOU SPECIFIED DRUM MIX IN THE INPUTS!</v>
      </c>
      <c r="D9" s="661"/>
      <c r="E9" s="661"/>
      <c r="F9" s="661"/>
      <c r="G9" s="661"/>
    </row>
    <row r="10" spans="1:15" ht="13.5" thickTop="1" x14ac:dyDescent="0.2">
      <c r="B10" s="145" t="s">
        <v>11</v>
      </c>
      <c r="C10" s="637" t="s">
        <v>4</v>
      </c>
      <c r="D10" s="650" t="s">
        <v>16</v>
      </c>
      <c r="E10" s="663"/>
      <c r="F10" s="650" t="s">
        <v>17</v>
      </c>
      <c r="G10" s="654"/>
    </row>
    <row r="11" spans="1:15" ht="13.5" thickBot="1" x14ac:dyDescent="0.25">
      <c r="C11" s="662"/>
      <c r="D11" s="8" t="s">
        <v>9</v>
      </c>
      <c r="E11" s="9" t="s">
        <v>10</v>
      </c>
      <c r="F11" s="8" t="s">
        <v>9</v>
      </c>
      <c r="G11" s="10" t="s">
        <v>10</v>
      </c>
    </row>
    <row r="12" spans="1:15" x14ac:dyDescent="0.2">
      <c r="C12" s="11" t="s">
        <v>1</v>
      </c>
      <c r="D12" s="12">
        <f>D25</f>
        <v>12800</v>
      </c>
      <c r="E12" s="13">
        <f>E25</f>
        <v>56064</v>
      </c>
      <c r="F12" s="12">
        <f>H25</f>
        <v>16.8</v>
      </c>
      <c r="G12" s="14">
        <f>I25</f>
        <v>31.456320000000002</v>
      </c>
    </row>
    <row r="13" spans="1:15" x14ac:dyDescent="0.2">
      <c r="C13" s="15" t="s">
        <v>2</v>
      </c>
      <c r="D13" s="16">
        <f>D26</f>
        <v>1800</v>
      </c>
      <c r="E13" s="17">
        <f>E26</f>
        <v>7884</v>
      </c>
      <c r="F13" s="16">
        <f>H26</f>
        <v>10.8</v>
      </c>
      <c r="G13" s="18">
        <f>I26</f>
        <v>20.221920000000001</v>
      </c>
    </row>
    <row r="14" spans="1:15" x14ac:dyDescent="0.2">
      <c r="C14" s="15" t="s">
        <v>412</v>
      </c>
      <c r="D14" s="16">
        <f>D32</f>
        <v>108</v>
      </c>
      <c r="E14" s="17">
        <f>E32</f>
        <v>473.04</v>
      </c>
      <c r="F14" s="16">
        <f>H32</f>
        <v>3.32</v>
      </c>
      <c r="G14" s="18">
        <f>I32</f>
        <v>6.2163680000000001</v>
      </c>
    </row>
    <row r="15" spans="1:15" x14ac:dyDescent="0.2">
      <c r="C15" s="15" t="s">
        <v>13</v>
      </c>
      <c r="D15" s="16">
        <f>MAX(D39,H39)</f>
        <v>35.199999999999996</v>
      </c>
      <c r="E15" s="17">
        <f>MAX(E39,I39)</f>
        <v>154.17599999999996</v>
      </c>
      <c r="F15" s="16">
        <f>MAX(L39,P39)</f>
        <v>35.199999999999996</v>
      </c>
      <c r="G15" s="18">
        <f>MAX(M39,Q39)</f>
        <v>65.908479999999997</v>
      </c>
    </row>
    <row r="16" spans="1:15" x14ac:dyDescent="0.2">
      <c r="C16" s="15" t="s">
        <v>14</v>
      </c>
      <c r="D16" s="16">
        <f>MAX(D40,H40)</f>
        <v>48</v>
      </c>
      <c r="E16" s="17">
        <f>MAX(E40,I40)</f>
        <v>210.24</v>
      </c>
      <c r="F16" s="16">
        <f>MAX(L40,P40)</f>
        <v>48</v>
      </c>
      <c r="G16" s="18">
        <f>MAX(M40,Q40)</f>
        <v>89.875200000000007</v>
      </c>
    </row>
    <row r="17" spans="1:9" x14ac:dyDescent="0.2">
      <c r="C17" s="15" t="s">
        <v>3</v>
      </c>
      <c r="D17" s="16">
        <f>D46</f>
        <v>160</v>
      </c>
      <c r="E17" s="17">
        <f>E46</f>
        <v>700.8</v>
      </c>
      <c r="F17" s="16">
        <f>H46</f>
        <v>160</v>
      </c>
      <c r="G17" s="18">
        <f>I46</f>
        <v>299.584</v>
      </c>
    </row>
    <row r="18" spans="1:9" x14ac:dyDescent="0.2">
      <c r="C18" s="70" t="s">
        <v>15</v>
      </c>
      <c r="D18" s="71">
        <f>MAX(D53,H53)</f>
        <v>14.399999999999999</v>
      </c>
      <c r="E18" s="72">
        <f>MAX(E53,I53)</f>
        <v>63.071999999999996</v>
      </c>
      <c r="F18" s="71">
        <f>MAX(L53,P53)</f>
        <v>14.399999999999999</v>
      </c>
      <c r="G18" s="73">
        <f>MAX(M53,Q53)</f>
        <v>26.962559999999996</v>
      </c>
    </row>
    <row r="19" spans="1:9" ht="13.5" thickBot="1" x14ac:dyDescent="0.25">
      <c r="C19" s="74" t="s">
        <v>158</v>
      </c>
      <c r="D19" s="20">
        <f>MAX(D60,H60)</f>
        <v>6.0000000000000001E-3</v>
      </c>
      <c r="E19" s="43">
        <f>MAX(E60,I60)</f>
        <v>2.6280000000000001E-2</v>
      </c>
      <c r="F19" s="20">
        <f>MAX(L60,P60)</f>
        <v>6.0000000000000001E-3</v>
      </c>
      <c r="G19" s="21">
        <f>MAX(M60,Q60)</f>
        <v>1.12344E-2</v>
      </c>
    </row>
    <row r="20" spans="1:9" ht="13.5" thickTop="1" x14ac:dyDescent="0.2"/>
    <row r="21" spans="1:9" ht="13.5" thickBot="1" x14ac:dyDescent="0.25"/>
    <row r="22" spans="1:9" ht="14.25" thickTop="1" thickBot="1" x14ac:dyDescent="0.25">
      <c r="A22" s="4" t="s">
        <v>7</v>
      </c>
      <c r="B22" s="641" t="s">
        <v>362</v>
      </c>
      <c r="C22" s="638"/>
      <c r="D22" s="638"/>
      <c r="E22" s="639"/>
      <c r="F22" s="641" t="s">
        <v>17</v>
      </c>
      <c r="G22" s="638"/>
      <c r="H22" s="638"/>
      <c r="I22" s="642"/>
    </row>
    <row r="23" spans="1:9" x14ac:dyDescent="0.2">
      <c r="A23" s="5" t="s">
        <v>411</v>
      </c>
      <c r="B23" s="643" t="s">
        <v>4</v>
      </c>
      <c r="C23" s="23" t="s">
        <v>5</v>
      </c>
      <c r="D23" s="632" t="s">
        <v>8</v>
      </c>
      <c r="E23" s="640"/>
      <c r="F23" s="643" t="s">
        <v>4</v>
      </c>
      <c r="G23" s="23" t="s">
        <v>5</v>
      </c>
      <c r="H23" s="632" t="s">
        <v>8</v>
      </c>
      <c r="I23" s="633"/>
    </row>
    <row r="24" spans="1:9" ht="13.5" thickBot="1" x14ac:dyDescent="0.25">
      <c r="A24" s="5"/>
      <c r="B24" s="644"/>
      <c r="C24" s="24" t="s">
        <v>6</v>
      </c>
      <c r="D24" s="8" t="s">
        <v>9</v>
      </c>
      <c r="E24" s="22" t="s">
        <v>10</v>
      </c>
      <c r="F24" s="644"/>
      <c r="G24" s="24" t="s">
        <v>6</v>
      </c>
      <c r="H24" s="8" t="s">
        <v>9</v>
      </c>
      <c r="I24" s="10" t="s">
        <v>10</v>
      </c>
    </row>
    <row r="25" spans="1:9" x14ac:dyDescent="0.2">
      <c r="A25" s="5"/>
      <c r="B25" s="25" t="s">
        <v>1</v>
      </c>
      <c r="C25" s="123">
        <v>32</v>
      </c>
      <c r="D25" s="26">
        <f>$B$6*C25</f>
        <v>12800</v>
      </c>
      <c r="E25" s="27">
        <f>D25*8760/2000</f>
        <v>56064</v>
      </c>
      <c r="F25" s="34" t="s">
        <v>1</v>
      </c>
      <c r="G25" s="123">
        <v>4.2000000000000003E-2</v>
      </c>
      <c r="H25" s="26">
        <f>$B$6*G25</f>
        <v>16.8</v>
      </c>
      <c r="I25" s="40">
        <f>H25*$B$7/2000</f>
        <v>31.456320000000002</v>
      </c>
    </row>
    <row r="26" spans="1:9" ht="13.5" thickBot="1" x14ac:dyDescent="0.25">
      <c r="A26" s="6"/>
      <c r="B26" s="31" t="s">
        <v>2</v>
      </c>
      <c r="C26" s="124">
        <v>4.5</v>
      </c>
      <c r="D26" s="32">
        <f>$B$6*C26</f>
        <v>1800</v>
      </c>
      <c r="E26" s="33">
        <f>D26*8760/2000</f>
        <v>7884</v>
      </c>
      <c r="F26" s="38" t="s">
        <v>2</v>
      </c>
      <c r="G26" s="124">
        <v>2.7E-2</v>
      </c>
      <c r="H26" s="32">
        <f>$B$6*G26</f>
        <v>10.8</v>
      </c>
      <c r="I26" s="41">
        <f>H26*$B$7/2000</f>
        <v>20.221920000000001</v>
      </c>
    </row>
    <row r="27" spans="1:9" ht="13.5" thickTop="1" x14ac:dyDescent="0.2"/>
    <row r="28" spans="1:9" ht="13.5" thickBot="1" x14ac:dyDescent="0.25"/>
    <row r="29" spans="1:9" ht="14.25" thickTop="1" thickBot="1" x14ac:dyDescent="0.25">
      <c r="A29" s="4" t="s">
        <v>412</v>
      </c>
      <c r="B29" s="641" t="s">
        <v>362</v>
      </c>
      <c r="C29" s="638"/>
      <c r="D29" s="638"/>
      <c r="E29" s="639"/>
      <c r="F29" s="641" t="s">
        <v>17</v>
      </c>
      <c r="G29" s="638"/>
      <c r="H29" s="638"/>
      <c r="I29" s="642"/>
    </row>
    <row r="30" spans="1:9" x14ac:dyDescent="0.2">
      <c r="A30" s="5" t="s">
        <v>414</v>
      </c>
      <c r="B30" s="643" t="s">
        <v>4</v>
      </c>
      <c r="C30" s="23" t="s">
        <v>5</v>
      </c>
      <c r="D30" s="632" t="s">
        <v>8</v>
      </c>
      <c r="E30" s="640"/>
      <c r="F30" s="643" t="s">
        <v>4</v>
      </c>
      <c r="G30" s="23" t="s">
        <v>5</v>
      </c>
      <c r="H30" s="632" t="s">
        <v>8</v>
      </c>
      <c r="I30" s="633"/>
    </row>
    <row r="31" spans="1:9" ht="13.5" thickBot="1" x14ac:dyDescent="0.25">
      <c r="A31" s="5"/>
      <c r="B31" s="644"/>
      <c r="C31" s="24" t="s">
        <v>6</v>
      </c>
      <c r="D31" s="8" t="s">
        <v>9</v>
      </c>
      <c r="E31" s="22" t="s">
        <v>10</v>
      </c>
      <c r="F31" s="644"/>
      <c r="G31" s="24" t="s">
        <v>6</v>
      </c>
      <c r="H31" s="8" t="s">
        <v>9</v>
      </c>
      <c r="I31" s="10" t="s">
        <v>10</v>
      </c>
    </row>
    <row r="32" spans="1:9" ht="13.5" thickBot="1" x14ac:dyDescent="0.25">
      <c r="A32" s="6"/>
      <c r="B32" s="79" t="s">
        <v>412</v>
      </c>
      <c r="C32" s="127">
        <v>0.27</v>
      </c>
      <c r="D32" s="80">
        <f>$B$6*C32</f>
        <v>108</v>
      </c>
      <c r="E32" s="81">
        <f>D32*8760/2000</f>
        <v>473.04</v>
      </c>
      <c r="F32" s="82" t="s">
        <v>412</v>
      </c>
      <c r="G32" s="127">
        <v>8.3000000000000001E-3</v>
      </c>
      <c r="H32" s="80">
        <f>$B$6*G32</f>
        <v>3.32</v>
      </c>
      <c r="I32" s="215">
        <f>H32*$B$7/2000</f>
        <v>6.2163680000000001</v>
      </c>
    </row>
    <row r="33" spans="1:25" ht="13.5" thickTop="1" x14ac:dyDescent="0.2"/>
    <row r="34" spans="1:25" ht="13.5" thickBot="1" x14ac:dyDescent="0.25"/>
    <row r="35" spans="1:25" ht="13.5" thickTop="1" x14ac:dyDescent="0.2">
      <c r="A35" s="4" t="s">
        <v>370</v>
      </c>
      <c r="B35" s="656" t="s">
        <v>362</v>
      </c>
      <c r="C35" s="656"/>
      <c r="D35" s="656"/>
      <c r="E35" s="656"/>
      <c r="F35" s="656"/>
      <c r="G35" s="656"/>
      <c r="H35" s="656"/>
      <c r="I35" s="656"/>
      <c r="J35" s="656" t="s">
        <v>358</v>
      </c>
      <c r="K35" s="656"/>
      <c r="L35" s="656"/>
      <c r="M35" s="656"/>
      <c r="N35" s="656"/>
      <c r="O35" s="656"/>
      <c r="P35" s="656"/>
      <c r="Q35" s="667"/>
      <c r="R35" s="5"/>
    </row>
    <row r="36" spans="1:25" ht="13.5" thickBot="1" x14ac:dyDescent="0.25">
      <c r="A36" s="5" t="s">
        <v>416</v>
      </c>
      <c r="B36" s="613" t="s">
        <v>20</v>
      </c>
      <c r="C36" s="657"/>
      <c r="D36" s="657"/>
      <c r="E36" s="658"/>
      <c r="F36" s="613" t="s">
        <v>372</v>
      </c>
      <c r="G36" s="657"/>
      <c r="H36" s="657"/>
      <c r="I36" s="658"/>
      <c r="J36" s="613" t="s">
        <v>20</v>
      </c>
      <c r="K36" s="657"/>
      <c r="L36" s="657"/>
      <c r="M36" s="658"/>
      <c r="N36" s="613" t="s">
        <v>372</v>
      </c>
      <c r="O36" s="657"/>
      <c r="P36" s="657"/>
      <c r="Q36" s="659"/>
    </row>
    <row r="37" spans="1:25" x14ac:dyDescent="0.2">
      <c r="A37" s="5"/>
      <c r="B37" s="643" t="s">
        <v>4</v>
      </c>
      <c r="C37" s="23" t="s">
        <v>5</v>
      </c>
      <c r="D37" s="632" t="s">
        <v>8</v>
      </c>
      <c r="E37" s="640"/>
      <c r="F37" s="643" t="s">
        <v>4</v>
      </c>
      <c r="G37" s="23" t="s">
        <v>5</v>
      </c>
      <c r="H37" s="632" t="s">
        <v>8</v>
      </c>
      <c r="I37" s="660"/>
      <c r="J37" s="643" t="s">
        <v>4</v>
      </c>
      <c r="K37" s="23" t="s">
        <v>5</v>
      </c>
      <c r="L37" s="632" t="s">
        <v>8</v>
      </c>
      <c r="M37" s="640"/>
      <c r="N37" s="643" t="s">
        <v>4</v>
      </c>
      <c r="O37" s="23" t="s">
        <v>5</v>
      </c>
      <c r="P37" s="632" t="s">
        <v>8</v>
      </c>
      <c r="Q37" s="633"/>
    </row>
    <row r="38" spans="1:25" ht="13.5" thickBot="1" x14ac:dyDescent="0.25">
      <c r="A38" s="5"/>
      <c r="B38" s="644"/>
      <c r="C38" s="24" t="s">
        <v>6</v>
      </c>
      <c r="D38" s="8" t="s">
        <v>9</v>
      </c>
      <c r="E38" s="22" t="s">
        <v>10</v>
      </c>
      <c r="F38" s="644"/>
      <c r="G38" s="24" t="s">
        <v>6</v>
      </c>
      <c r="H38" s="8" t="s">
        <v>9</v>
      </c>
      <c r="I38" s="9" t="s">
        <v>10</v>
      </c>
      <c r="J38" s="644"/>
      <c r="K38" s="24" t="s">
        <v>6</v>
      </c>
      <c r="L38" s="8" t="s">
        <v>9</v>
      </c>
      <c r="M38" s="22" t="s">
        <v>10</v>
      </c>
      <c r="N38" s="644"/>
      <c r="O38" s="24" t="s">
        <v>6</v>
      </c>
      <c r="P38" s="8" t="s">
        <v>9</v>
      </c>
      <c r="Q38" s="10" t="s">
        <v>10</v>
      </c>
    </row>
    <row r="39" spans="1:25" x14ac:dyDescent="0.2">
      <c r="A39" s="5"/>
      <c r="B39" s="25" t="s">
        <v>13</v>
      </c>
      <c r="C39" s="123">
        <v>4.5999999999999999E-3</v>
      </c>
      <c r="D39" s="26">
        <f>IF(Inputs!$D$20="Y",$B$6*C39,0)</f>
        <v>1.8399999999999999</v>
      </c>
      <c r="E39" s="27">
        <f>D39*8760/2000</f>
        <v>8.0592000000000006</v>
      </c>
      <c r="F39" s="34" t="s">
        <v>13</v>
      </c>
      <c r="G39" s="123">
        <v>8.7999999999999995E-2</v>
      </c>
      <c r="H39" s="26">
        <f>IF(OR(Inputs!$D$21="Y",OR(Inputs!$D$22="Y",Inputs!$D$23="Y",Inputs!$D$24="Y",Inputs!$D$25="Y")),$B$6*G39,0)</f>
        <v>35.199999999999996</v>
      </c>
      <c r="I39" s="35">
        <f>H39*8760/2000</f>
        <v>154.17599999999996</v>
      </c>
      <c r="J39" s="25" t="s">
        <v>13</v>
      </c>
      <c r="K39" s="123">
        <v>4.5999999999999999E-3</v>
      </c>
      <c r="L39" s="26">
        <f>IF(Inputs!$D$20="Y",$B$6*K39,0)</f>
        <v>1.8399999999999999</v>
      </c>
      <c r="M39" s="27">
        <f>L39*$B$7/2000</f>
        <v>3.4452159999999998</v>
      </c>
      <c r="N39" s="34" t="s">
        <v>13</v>
      </c>
      <c r="O39" s="123">
        <v>8.7999999999999995E-2</v>
      </c>
      <c r="P39" s="26">
        <f>IF(OR(Inputs!$D$21="Y",OR(Inputs!$D$22="Y",Inputs!$D$23="Y",Inputs!$D$24="Y",Inputs!$D$25="Y")),$B$6*O39,0)</f>
        <v>35.199999999999996</v>
      </c>
      <c r="Q39" s="40">
        <f>P39*$B$7/2000</f>
        <v>65.908479999999997</v>
      </c>
    </row>
    <row r="40" spans="1:25" ht="13.5" thickBot="1" x14ac:dyDescent="0.25">
      <c r="A40" s="5"/>
      <c r="B40" s="247" t="s">
        <v>14</v>
      </c>
      <c r="C40" s="248">
        <v>2.5000000000000001E-2</v>
      </c>
      <c r="D40" s="249">
        <f>IF(Inputs!$D$20="Y",$B$6*C40,0)</f>
        <v>10</v>
      </c>
      <c r="E40" s="250">
        <f>D40*8760/2000</f>
        <v>43.8</v>
      </c>
      <c r="F40" s="251" t="s">
        <v>14</v>
      </c>
      <c r="G40" s="248">
        <v>0.12</v>
      </c>
      <c r="H40" s="249">
        <f>IF(OR(Inputs!$D$21="Y",OR(Inputs!$D$22="Y",Inputs!$D$23="Y",Inputs!$D$24="Y",Inputs!$D$25="Y")),$B$6*G40,0)</f>
        <v>48</v>
      </c>
      <c r="I40" s="252">
        <f>H40*8760/2000</f>
        <v>210.24</v>
      </c>
      <c r="J40" s="247" t="s">
        <v>14</v>
      </c>
      <c r="K40" s="248">
        <v>2.5000000000000001E-2</v>
      </c>
      <c r="L40" s="249">
        <f>IF(Inputs!$D$20="Y",$B$6*K40,0)</f>
        <v>10</v>
      </c>
      <c r="M40" s="250">
        <f>L40*$B$7/2000</f>
        <v>18.724</v>
      </c>
      <c r="N40" s="251" t="s">
        <v>14</v>
      </c>
      <c r="O40" s="248">
        <v>0.12</v>
      </c>
      <c r="P40" s="249">
        <f>IF(OR(Inputs!$D$21="Y",OR(Inputs!$D$22="Y",Inputs!$D$23="Y",Inputs!$D$24="Y",Inputs!$D$25="Y")),$B$6*O40,0)</f>
        <v>48</v>
      </c>
      <c r="Q40" s="253">
        <f>P40*$B$7/2000</f>
        <v>89.875200000000007</v>
      </c>
    </row>
    <row r="41" spans="1:25" ht="13.5" thickTop="1" x14ac:dyDescent="0.2">
      <c r="A41" s="84"/>
      <c r="B41" s="172"/>
      <c r="C41" s="254"/>
      <c r="D41" s="255"/>
      <c r="E41" s="256"/>
      <c r="F41" s="172"/>
      <c r="G41" s="254"/>
      <c r="H41" s="255"/>
      <c r="I41" s="256"/>
      <c r="J41" s="172"/>
      <c r="K41" s="257"/>
      <c r="L41" s="255"/>
      <c r="M41" s="256"/>
      <c r="N41" s="172"/>
      <c r="O41" s="254"/>
      <c r="P41" s="255"/>
      <c r="Q41" s="256"/>
    </row>
    <row r="42" spans="1:25" ht="13.5" thickBot="1" x14ac:dyDescent="0.25">
      <c r="A42" s="181"/>
      <c r="B42" s="63"/>
      <c r="C42" s="211"/>
      <c r="D42" s="212"/>
      <c r="E42" s="213"/>
      <c r="F42" s="63"/>
      <c r="G42" s="211"/>
      <c r="H42" s="212"/>
      <c r="I42" s="213"/>
      <c r="J42" s="63"/>
      <c r="K42" s="214"/>
      <c r="L42" s="212"/>
      <c r="M42" s="213"/>
      <c r="N42" s="63"/>
      <c r="O42" s="211"/>
      <c r="P42" s="212"/>
      <c r="Q42" s="213"/>
    </row>
    <row r="43" spans="1:25" ht="14.25" thickTop="1" thickBot="1" x14ac:dyDescent="0.25">
      <c r="A43" s="4" t="s">
        <v>3</v>
      </c>
      <c r="B43" s="641" t="s">
        <v>362</v>
      </c>
      <c r="C43" s="638"/>
      <c r="D43" s="638"/>
      <c r="E43" s="639"/>
      <c r="F43" s="641" t="s">
        <v>358</v>
      </c>
      <c r="G43" s="638"/>
      <c r="H43" s="638"/>
      <c r="I43" s="642"/>
      <c r="J43" s="63"/>
      <c r="K43" s="214"/>
      <c r="L43" s="212"/>
      <c r="M43" s="213"/>
      <c r="N43" s="63"/>
      <c r="O43" s="211"/>
      <c r="P43" s="212"/>
      <c r="Q43" s="213"/>
      <c r="R43" s="63"/>
      <c r="S43" s="211"/>
      <c r="T43" s="212"/>
      <c r="U43" s="213"/>
      <c r="V43" s="63"/>
      <c r="W43" s="214"/>
      <c r="X43" s="212"/>
      <c r="Y43" s="213"/>
    </row>
    <row r="44" spans="1:25" x14ac:dyDescent="0.2">
      <c r="A44" s="5" t="s">
        <v>417</v>
      </c>
      <c r="B44" s="643" t="s">
        <v>4</v>
      </c>
      <c r="C44" s="23" t="s">
        <v>5</v>
      </c>
      <c r="D44" s="632" t="s">
        <v>8</v>
      </c>
      <c r="E44" s="640"/>
      <c r="F44" s="643" t="s">
        <v>4</v>
      </c>
      <c r="G44" s="23" t="s">
        <v>5</v>
      </c>
      <c r="H44" s="632" t="s">
        <v>8</v>
      </c>
      <c r="I44" s="633"/>
      <c r="J44" s="63"/>
      <c r="K44" s="214"/>
      <c r="L44" s="212"/>
      <c r="M44" s="213"/>
      <c r="N44" s="63"/>
      <c r="O44" s="211"/>
      <c r="P44" s="212"/>
      <c r="Q44" s="213"/>
      <c r="R44" s="63"/>
      <c r="S44" s="211"/>
      <c r="T44" s="212"/>
      <c r="U44" s="213"/>
      <c r="V44" s="63"/>
      <c r="W44" s="214"/>
      <c r="X44" s="212"/>
      <c r="Y44" s="213"/>
    </row>
    <row r="45" spans="1:25" ht="13.5" thickBot="1" x14ac:dyDescent="0.25">
      <c r="A45" s="5"/>
      <c r="B45" s="644"/>
      <c r="C45" s="24" t="s">
        <v>6</v>
      </c>
      <c r="D45" s="8" t="s">
        <v>9</v>
      </c>
      <c r="E45" s="22" t="s">
        <v>10</v>
      </c>
      <c r="F45" s="644"/>
      <c r="G45" s="24" t="s">
        <v>6</v>
      </c>
      <c r="H45" s="8" t="s">
        <v>9</v>
      </c>
      <c r="I45" s="10" t="s">
        <v>10</v>
      </c>
      <c r="J45" s="63"/>
      <c r="K45" s="214"/>
      <c r="L45" s="212"/>
      <c r="M45" s="213"/>
      <c r="N45" s="63"/>
      <c r="O45" s="211"/>
      <c r="P45" s="212"/>
      <c r="Q45" s="213"/>
      <c r="R45" s="63"/>
      <c r="S45" s="211"/>
      <c r="T45" s="212"/>
      <c r="U45" s="213"/>
      <c r="V45" s="63"/>
      <c r="W45" s="214"/>
      <c r="X45" s="212"/>
      <c r="Y45" s="213"/>
    </row>
    <row r="46" spans="1:25" ht="13.5" thickBot="1" x14ac:dyDescent="0.25">
      <c r="A46" s="6"/>
      <c r="B46" s="79" t="s">
        <v>3</v>
      </c>
      <c r="C46" s="246">
        <v>0.4</v>
      </c>
      <c r="D46" s="80">
        <f>$B$6*C46</f>
        <v>160</v>
      </c>
      <c r="E46" s="81">
        <f>D46*8760/2000</f>
        <v>700.8</v>
      </c>
      <c r="F46" s="82" t="s">
        <v>3</v>
      </c>
      <c r="G46" s="246">
        <v>0.4</v>
      </c>
      <c r="H46" s="80">
        <f>$B$6*G46</f>
        <v>160</v>
      </c>
      <c r="I46" s="215">
        <f>H46*$B$7/2000</f>
        <v>299.584</v>
      </c>
      <c r="J46" s="63"/>
      <c r="K46" s="214"/>
      <c r="L46" s="212"/>
      <c r="M46" s="213"/>
      <c r="N46" s="63"/>
      <c r="O46" s="211"/>
      <c r="P46" s="212"/>
      <c r="Q46" s="213"/>
      <c r="R46" s="63"/>
      <c r="S46" s="211"/>
      <c r="T46" s="212"/>
      <c r="U46" s="213"/>
      <c r="V46" s="63"/>
      <c r="W46" s="214"/>
      <c r="X46" s="212"/>
      <c r="Y46" s="213"/>
    </row>
    <row r="47" spans="1:25" ht="13.5" thickTop="1" x14ac:dyDescent="0.2">
      <c r="A47" s="181"/>
      <c r="B47" s="63"/>
      <c r="C47" s="211"/>
      <c r="D47" s="212"/>
      <c r="E47" s="213"/>
      <c r="F47" s="63"/>
      <c r="G47" s="211"/>
      <c r="H47" s="212"/>
      <c r="I47" s="213"/>
      <c r="J47" s="63"/>
      <c r="K47" s="63"/>
      <c r="L47" s="212"/>
      <c r="M47" s="213"/>
      <c r="N47" s="63"/>
      <c r="O47" s="211"/>
      <c r="P47" s="212"/>
      <c r="Q47" s="213"/>
      <c r="R47" s="63"/>
      <c r="S47" s="211"/>
      <c r="T47" s="212"/>
      <c r="U47" s="213"/>
      <c r="V47" s="63"/>
      <c r="W47" s="214"/>
      <c r="X47" s="212"/>
      <c r="Y47" s="213"/>
    </row>
    <row r="48" spans="1:25" ht="13.5" thickBot="1" x14ac:dyDescent="0.25">
      <c r="A48" s="181"/>
      <c r="B48" s="63"/>
      <c r="C48" s="211"/>
      <c r="D48" s="212"/>
      <c r="E48" s="213"/>
      <c r="F48" s="63"/>
      <c r="G48" s="211"/>
      <c r="H48" s="212"/>
      <c r="I48" s="213"/>
      <c r="K48" s="214"/>
      <c r="L48" s="212"/>
      <c r="M48" s="213"/>
      <c r="N48" s="63"/>
      <c r="O48" s="211"/>
      <c r="P48" s="212"/>
      <c r="Q48" s="213"/>
      <c r="R48" s="63"/>
      <c r="S48" s="211"/>
      <c r="T48" s="212"/>
      <c r="U48" s="213"/>
      <c r="V48" s="63"/>
      <c r="W48" s="214"/>
      <c r="X48" s="212"/>
      <c r="Y48" s="213"/>
    </row>
    <row r="49" spans="1:29" ht="13.5" thickTop="1" x14ac:dyDescent="0.2">
      <c r="A49" s="4" t="s">
        <v>15</v>
      </c>
      <c r="B49" s="641" t="s">
        <v>362</v>
      </c>
      <c r="C49" s="638"/>
      <c r="D49" s="638"/>
      <c r="E49" s="638"/>
      <c r="F49" s="638"/>
      <c r="G49" s="638"/>
      <c r="H49" s="638"/>
      <c r="I49" s="639"/>
      <c r="J49" s="641" t="s">
        <v>358</v>
      </c>
      <c r="K49" s="638"/>
      <c r="L49" s="638"/>
      <c r="M49" s="638"/>
      <c r="N49" s="638"/>
      <c r="O49" s="638"/>
      <c r="P49" s="638"/>
      <c r="Q49" s="642"/>
      <c r="R49" s="63"/>
      <c r="S49" s="211"/>
      <c r="T49" s="212"/>
      <c r="U49" s="213"/>
      <c r="V49" s="63"/>
      <c r="W49" s="211"/>
      <c r="X49" s="212"/>
      <c r="Y49" s="213"/>
      <c r="Z49" s="63"/>
      <c r="AA49" s="214"/>
      <c r="AB49" s="212"/>
      <c r="AC49" s="213"/>
    </row>
    <row r="50" spans="1:29" ht="13.5" thickBot="1" x14ac:dyDescent="0.25">
      <c r="A50" s="5" t="s">
        <v>418</v>
      </c>
      <c r="B50" s="614" t="s">
        <v>419</v>
      </c>
      <c r="C50" s="668"/>
      <c r="D50" s="668"/>
      <c r="E50" s="669"/>
      <c r="F50" s="614" t="s">
        <v>367</v>
      </c>
      <c r="G50" s="668"/>
      <c r="H50" s="668"/>
      <c r="I50" s="669"/>
      <c r="J50" s="614" t="s">
        <v>419</v>
      </c>
      <c r="K50" s="668"/>
      <c r="L50" s="668"/>
      <c r="M50" s="669"/>
      <c r="N50" s="614" t="s">
        <v>367</v>
      </c>
      <c r="O50" s="668"/>
      <c r="P50" s="668"/>
      <c r="Q50" s="670"/>
      <c r="R50" s="63"/>
      <c r="S50" s="211"/>
      <c r="T50" s="212"/>
      <c r="U50" s="213"/>
      <c r="V50" s="63"/>
      <c r="W50" s="211"/>
      <c r="X50" s="212"/>
      <c r="Y50" s="213"/>
      <c r="Z50" s="63"/>
      <c r="AA50" s="214"/>
      <c r="AB50" s="212"/>
      <c r="AC50" s="213"/>
    </row>
    <row r="51" spans="1:29" x14ac:dyDescent="0.2">
      <c r="B51" s="643" t="s">
        <v>4</v>
      </c>
      <c r="C51" s="23" t="s">
        <v>5</v>
      </c>
      <c r="D51" s="632" t="s">
        <v>8</v>
      </c>
      <c r="E51" s="640"/>
      <c r="F51" s="643" t="s">
        <v>4</v>
      </c>
      <c r="G51" s="23" t="s">
        <v>5</v>
      </c>
      <c r="H51" s="632" t="s">
        <v>8</v>
      </c>
      <c r="I51" s="640"/>
      <c r="J51" s="643" t="s">
        <v>4</v>
      </c>
      <c r="K51" s="23" t="s">
        <v>5</v>
      </c>
      <c r="L51" s="632" t="s">
        <v>8</v>
      </c>
      <c r="M51" s="633"/>
      <c r="N51" s="643" t="s">
        <v>4</v>
      </c>
      <c r="O51" s="23" t="s">
        <v>5</v>
      </c>
      <c r="P51" s="632" t="s">
        <v>8</v>
      </c>
      <c r="Q51" s="633"/>
      <c r="R51" s="63"/>
      <c r="S51" s="211"/>
      <c r="T51" s="212"/>
      <c r="U51" s="213"/>
      <c r="V51" s="63"/>
      <c r="W51" s="211"/>
      <c r="X51" s="212"/>
      <c r="Y51" s="213"/>
      <c r="Z51" s="63"/>
      <c r="AA51" s="214"/>
      <c r="AB51" s="212"/>
      <c r="AC51" s="213"/>
    </row>
    <row r="52" spans="1:29" ht="13.5" thickBot="1" x14ac:dyDescent="0.25">
      <c r="A52" s="5"/>
      <c r="B52" s="644"/>
      <c r="C52" s="24" t="s">
        <v>6</v>
      </c>
      <c r="D52" s="8" t="s">
        <v>9</v>
      </c>
      <c r="E52" s="22" t="s">
        <v>10</v>
      </c>
      <c r="F52" s="644"/>
      <c r="G52" s="24" t="s">
        <v>6</v>
      </c>
      <c r="H52" s="8" t="s">
        <v>9</v>
      </c>
      <c r="I52" s="22" t="s">
        <v>10</v>
      </c>
      <c r="J52" s="644"/>
      <c r="K52" s="24" t="s">
        <v>6</v>
      </c>
      <c r="L52" s="8" t="s">
        <v>9</v>
      </c>
      <c r="M52" s="10" t="s">
        <v>10</v>
      </c>
      <c r="N52" s="644"/>
      <c r="O52" s="24" t="s">
        <v>6</v>
      </c>
      <c r="P52" s="8" t="s">
        <v>9</v>
      </c>
      <c r="Q52" s="10" t="s">
        <v>10</v>
      </c>
      <c r="R52" s="63"/>
      <c r="S52" s="211"/>
      <c r="T52" s="212"/>
      <c r="U52" s="213"/>
      <c r="V52" s="63"/>
      <c r="W52" s="211"/>
      <c r="X52" s="212"/>
      <c r="Y52" s="213"/>
      <c r="Z52" s="63"/>
      <c r="AA52" s="214"/>
      <c r="AB52" s="212"/>
      <c r="AC52" s="213"/>
    </row>
    <row r="53" spans="1:29" ht="13.5" thickBot="1" x14ac:dyDescent="0.25">
      <c r="A53" s="6"/>
      <c r="B53" s="79" t="s">
        <v>15</v>
      </c>
      <c r="C53" s="127">
        <v>8.2000000000000007E-3</v>
      </c>
      <c r="D53" s="80">
        <f>IF(OR(Inputs!$D$20="Y",Inputs!$D$21="Y"),$B$6*C53,0)</f>
        <v>3.2800000000000002</v>
      </c>
      <c r="E53" s="81">
        <f>D53*8760/2000</f>
        <v>14.366400000000002</v>
      </c>
      <c r="F53" s="79" t="s">
        <v>15</v>
      </c>
      <c r="G53" s="127">
        <v>3.5999999999999997E-2</v>
      </c>
      <c r="H53" s="80">
        <f>IF(OR(Inputs!$D$22="Y",Inputs!$D$23="Y",Inputs!$D$24="Y",Inputs!$D$25="Y"),$B$6*G53,0)</f>
        <v>14.399999999999999</v>
      </c>
      <c r="I53" s="81">
        <f>H53*8760/2000</f>
        <v>63.071999999999996</v>
      </c>
      <c r="J53" s="82" t="s">
        <v>15</v>
      </c>
      <c r="K53" s="127">
        <v>8.2000000000000007E-3</v>
      </c>
      <c r="L53" s="80">
        <f>IF(OR(Inputs!$D$20="Y",Inputs!$D$21="Y"),$B$6*K53,0)</f>
        <v>3.2800000000000002</v>
      </c>
      <c r="M53" s="215">
        <f>L53*$B$7/2000</f>
        <v>6.1414720000000003</v>
      </c>
      <c r="N53" s="82" t="s">
        <v>15</v>
      </c>
      <c r="O53" s="127">
        <v>3.5999999999999997E-2</v>
      </c>
      <c r="P53" s="80">
        <f>IF(OR(Inputs!$D$22="Y",Inputs!$D$23="Y",Inputs!$D$24="Y",Inputs!$D$25="Y"),$B$6*O53,0)</f>
        <v>14.399999999999999</v>
      </c>
      <c r="Q53" s="215">
        <f>P53*$B$7/2000</f>
        <v>26.962559999999996</v>
      </c>
      <c r="R53" s="63"/>
      <c r="S53" s="211"/>
      <c r="T53" s="212"/>
      <c r="U53" s="213"/>
      <c r="V53" s="63"/>
      <c r="W53" s="211"/>
      <c r="X53" s="212"/>
      <c r="Y53" s="213"/>
      <c r="Z53" s="63"/>
      <c r="AA53" s="214"/>
      <c r="AB53" s="212"/>
      <c r="AC53" s="213"/>
    </row>
    <row r="54" spans="1:29" ht="13.5" thickTop="1" x14ac:dyDescent="0.2">
      <c r="A54" s="181"/>
      <c r="B54" s="63"/>
      <c r="C54" s="211"/>
      <c r="D54" s="212"/>
      <c r="E54" s="213"/>
      <c r="F54" s="63"/>
      <c r="G54" s="211"/>
      <c r="H54" s="212"/>
      <c r="I54" s="213"/>
      <c r="J54" s="63"/>
      <c r="K54" s="214"/>
      <c r="L54" s="212"/>
      <c r="M54" s="213"/>
      <c r="N54" s="63"/>
      <c r="O54" s="211"/>
      <c r="P54" s="212"/>
      <c r="Q54" s="213"/>
      <c r="R54" s="63"/>
      <c r="S54" s="211"/>
      <c r="T54" s="212"/>
      <c r="U54" s="213"/>
      <c r="V54" s="63"/>
      <c r="W54" s="214"/>
      <c r="X54" s="212"/>
      <c r="Y54" s="213"/>
    </row>
    <row r="55" spans="1:29" ht="13.5" thickBot="1" x14ac:dyDescent="0.25"/>
    <row r="56" spans="1:29" ht="13.5" thickTop="1" x14ac:dyDescent="0.2">
      <c r="A56" s="4" t="s">
        <v>158</v>
      </c>
      <c r="B56" s="641" t="s">
        <v>362</v>
      </c>
      <c r="C56" s="638"/>
      <c r="D56" s="638"/>
      <c r="E56" s="638"/>
      <c r="F56" s="638"/>
      <c r="G56" s="638"/>
      <c r="H56" s="638"/>
      <c r="I56" s="639"/>
      <c r="J56" s="641" t="s">
        <v>358</v>
      </c>
      <c r="K56" s="638"/>
      <c r="L56" s="638"/>
      <c r="M56" s="638"/>
      <c r="N56" s="638"/>
      <c r="O56" s="638"/>
      <c r="P56" s="638"/>
      <c r="Q56" s="642"/>
    </row>
    <row r="57" spans="1:29" ht="13.5" thickBot="1" x14ac:dyDescent="0.25">
      <c r="A57" s="5" t="s">
        <v>420</v>
      </c>
      <c r="B57" s="613" t="s">
        <v>419</v>
      </c>
      <c r="C57" s="657"/>
      <c r="D57" s="657"/>
      <c r="E57" s="658"/>
      <c r="F57" s="613" t="s">
        <v>367</v>
      </c>
      <c r="G57" s="657"/>
      <c r="H57" s="657"/>
      <c r="I57" s="658"/>
      <c r="J57" s="613" t="s">
        <v>419</v>
      </c>
      <c r="K57" s="657"/>
      <c r="L57" s="657"/>
      <c r="M57" s="658"/>
      <c r="N57" s="613" t="s">
        <v>367</v>
      </c>
      <c r="O57" s="657"/>
      <c r="P57" s="657"/>
      <c r="Q57" s="659"/>
    </row>
    <row r="58" spans="1:29" x14ac:dyDescent="0.2">
      <c r="A58" s="5" t="s">
        <v>173</v>
      </c>
      <c r="B58" s="643" t="s">
        <v>4</v>
      </c>
      <c r="C58" s="23" t="s">
        <v>5</v>
      </c>
      <c r="D58" s="632" t="s">
        <v>8</v>
      </c>
      <c r="E58" s="640"/>
      <c r="F58" s="643" t="s">
        <v>4</v>
      </c>
      <c r="G58" s="23" t="s">
        <v>5</v>
      </c>
      <c r="H58" s="632" t="s">
        <v>8</v>
      </c>
      <c r="I58" s="660"/>
      <c r="J58" s="643" t="s">
        <v>4</v>
      </c>
      <c r="K58" s="23" t="s">
        <v>5</v>
      </c>
      <c r="L58" s="632" t="s">
        <v>8</v>
      </c>
      <c r="M58" s="640"/>
      <c r="N58" s="643" t="s">
        <v>4</v>
      </c>
      <c r="O58" s="23" t="s">
        <v>5</v>
      </c>
      <c r="P58" s="632" t="s">
        <v>8</v>
      </c>
      <c r="Q58" s="633"/>
    </row>
    <row r="59" spans="1:29" ht="13.5" thickBot="1" x14ac:dyDescent="0.25">
      <c r="A59" s="5"/>
      <c r="B59" s="644"/>
      <c r="C59" s="24" t="s">
        <v>6</v>
      </c>
      <c r="D59" s="8" t="s">
        <v>9</v>
      </c>
      <c r="E59" s="22" t="s">
        <v>10</v>
      </c>
      <c r="F59" s="644"/>
      <c r="G59" s="24" t="s">
        <v>6</v>
      </c>
      <c r="H59" s="8" t="s">
        <v>9</v>
      </c>
      <c r="I59" s="9" t="s">
        <v>10</v>
      </c>
      <c r="J59" s="644"/>
      <c r="K59" s="24" t="s">
        <v>6</v>
      </c>
      <c r="L59" s="8" t="s">
        <v>9</v>
      </c>
      <c r="M59" s="22" t="s">
        <v>10</v>
      </c>
      <c r="N59" s="644"/>
      <c r="O59" s="24" t="s">
        <v>6</v>
      </c>
      <c r="P59" s="8" t="s">
        <v>9</v>
      </c>
      <c r="Q59" s="10" t="s">
        <v>10</v>
      </c>
    </row>
    <row r="60" spans="1:29" ht="13.5" thickBot="1" x14ac:dyDescent="0.25">
      <c r="A60" s="6"/>
      <c r="B60" s="31" t="s">
        <v>158</v>
      </c>
      <c r="C60" s="126">
        <v>8.8999999999999995E-7</v>
      </c>
      <c r="D60" s="32">
        <f>IF(OR(Inputs!$D$20="Y",Inputs!$D$21="Y"),$B$6*C60,0)</f>
        <v>3.5599999999999998E-4</v>
      </c>
      <c r="E60" s="33">
        <f>D60*8760/2000</f>
        <v>1.5592799999999999E-3</v>
      </c>
      <c r="F60" s="38" t="s">
        <v>158</v>
      </c>
      <c r="G60" s="126">
        <v>1.5E-5</v>
      </c>
      <c r="H60" s="32">
        <f>IF(OR(Inputs!$D$22="Y",Inputs!$D$23="Y",Inputs!$D$24="Y",Inputs!$D$25="Y"),$B$6*G60,0)</f>
        <v>6.0000000000000001E-3</v>
      </c>
      <c r="I60" s="39">
        <f>H60*8760/2000</f>
        <v>2.6280000000000001E-2</v>
      </c>
      <c r="J60" s="31" t="s">
        <v>158</v>
      </c>
      <c r="K60" s="126">
        <v>8.8999999999999995E-7</v>
      </c>
      <c r="L60" s="32">
        <f>IF(OR(Inputs!$D$20="Y",Inputs!$D$21="Y"),$B$6*K60,0)</f>
        <v>3.5599999999999998E-4</v>
      </c>
      <c r="M60" s="33">
        <f>L60*$B$7/2000</f>
        <v>6.6657439999999999E-4</v>
      </c>
      <c r="N60" s="38" t="s">
        <v>158</v>
      </c>
      <c r="O60" s="126">
        <v>1.5E-5</v>
      </c>
      <c r="P60" s="32">
        <f>IF(OR(Inputs!$D$22="Y",Inputs!$D$23="Y",Inputs!$D$24="Y",Inputs!$D$25="Y"),$B$6*O60,0)</f>
        <v>6.0000000000000001E-3</v>
      </c>
      <c r="Q60" s="41">
        <f>P60*$B$7/2000</f>
        <v>1.12344E-2</v>
      </c>
    </row>
    <row r="61" spans="1:29" ht="13.5" thickTop="1" x14ac:dyDescent="0.2">
      <c r="C61" s="67"/>
    </row>
    <row r="64" spans="1:29" x14ac:dyDescent="0.2">
      <c r="C64" s="67"/>
    </row>
  </sheetData>
  <mergeCells count="67">
    <mergeCell ref="A1:K1"/>
    <mergeCell ref="A2:K2"/>
    <mergeCell ref="F58:F59"/>
    <mergeCell ref="H58:I58"/>
    <mergeCell ref="B51:B52"/>
    <mergeCell ref="D51:E51"/>
    <mergeCell ref="J51:J52"/>
    <mergeCell ref="F51:F52"/>
    <mergeCell ref="H51:I51"/>
    <mergeCell ref="B56:I56"/>
    <mergeCell ref="N57:Q57"/>
    <mergeCell ref="P58:Q58"/>
    <mergeCell ref="B58:B59"/>
    <mergeCell ref="D58:E58"/>
    <mergeCell ref="N58:N59"/>
    <mergeCell ref="L58:M58"/>
    <mergeCell ref="J58:J59"/>
    <mergeCell ref="B57:E57"/>
    <mergeCell ref="F57:I57"/>
    <mergeCell ref="J57:M57"/>
    <mergeCell ref="P51:Q51"/>
    <mergeCell ref="L51:M51"/>
    <mergeCell ref="N51:N52"/>
    <mergeCell ref="J56:Q56"/>
    <mergeCell ref="B49:I49"/>
    <mergeCell ref="J49:Q49"/>
    <mergeCell ref="B50:E50"/>
    <mergeCell ref="F50:I50"/>
    <mergeCell ref="J50:M50"/>
    <mergeCell ref="N50:Q50"/>
    <mergeCell ref="D37:E37"/>
    <mergeCell ref="B44:B45"/>
    <mergeCell ref="D44:E44"/>
    <mergeCell ref="F44:F45"/>
    <mergeCell ref="H44:I44"/>
    <mergeCell ref="B43:E43"/>
    <mergeCell ref="F43:I43"/>
    <mergeCell ref="B29:E29"/>
    <mergeCell ref="J35:Q35"/>
    <mergeCell ref="H37:I37"/>
    <mergeCell ref="B37:B38"/>
    <mergeCell ref="F37:F38"/>
    <mergeCell ref="J37:J38"/>
    <mergeCell ref="B35:I35"/>
    <mergeCell ref="P37:Q37"/>
    <mergeCell ref="B36:E36"/>
    <mergeCell ref="F36:I36"/>
    <mergeCell ref="D30:E30"/>
    <mergeCell ref="F30:F31"/>
    <mergeCell ref="B22:E22"/>
    <mergeCell ref="F22:I22"/>
    <mergeCell ref="F29:I29"/>
    <mergeCell ref="B30:B31"/>
    <mergeCell ref="H30:I30"/>
    <mergeCell ref="B23:B24"/>
    <mergeCell ref="F23:F24"/>
    <mergeCell ref="D23:E23"/>
    <mergeCell ref="N37:N38"/>
    <mergeCell ref="L37:M37"/>
    <mergeCell ref="N36:Q36"/>
    <mergeCell ref="J36:M36"/>
    <mergeCell ref="A3:K3"/>
    <mergeCell ref="C9:G9"/>
    <mergeCell ref="C10:C11"/>
    <mergeCell ref="F10:G10"/>
    <mergeCell ref="D10:E10"/>
    <mergeCell ref="H23:I23"/>
  </mergeCells>
  <phoneticPr fontId="3" type="noConversion"/>
  <pageMargins left="0.75" right="0.75" top="1" bottom="1" header="0.5" footer="0.5"/>
  <pageSetup scale="70" orientation="portrait" r:id="rId1"/>
  <headerFooter alignWithMargins="0">
    <oddHeader>&amp;RBatch - Prod.Crit - &amp;D</oddHeader>
  </headerFooter>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EFF4-78F6-4F29-9902-84C13D1A662A}">
  <sheetPr codeName="Sheet10">
    <tabColor indexed="8"/>
  </sheetPr>
  <dimension ref="A1:AO109"/>
  <sheetViews>
    <sheetView topLeftCell="K1" zoomScaleNormal="100" workbookViewId="0">
      <selection activeCell="A2" sqref="A2:J2"/>
    </sheetView>
  </sheetViews>
  <sheetFormatPr defaultRowHeight="12.75" x14ac:dyDescent="0.2"/>
  <cols>
    <col min="1" max="1" width="17.5703125" bestFit="1" customWidth="1"/>
    <col min="2" max="2" width="9.5703125" customWidth="1"/>
    <col min="3" max="3" width="4.7109375" customWidth="1"/>
    <col min="4" max="4" width="4.5703125" bestFit="1" customWidth="1"/>
    <col min="5" max="5" width="5.28515625" bestFit="1" customWidth="1"/>
    <col min="6" max="6" width="20.140625" bestFit="1" customWidth="1"/>
    <col min="7" max="7" width="14.7109375" customWidth="1"/>
    <col min="8" max="8" width="12" bestFit="1" customWidth="1"/>
    <col min="9" max="9" width="9.85546875" customWidth="1"/>
    <col min="10" max="10" width="4.85546875" bestFit="1" customWidth="1"/>
    <col min="11" max="11" width="4.5703125" bestFit="1" customWidth="1"/>
    <col min="12" max="12" width="5.28515625" bestFit="1" customWidth="1"/>
    <col min="13" max="13" width="29.85546875" bestFit="1" customWidth="1"/>
    <col min="14" max="14" width="14.5703125" customWidth="1"/>
    <col min="15" max="15" width="11" bestFit="1" customWidth="1"/>
    <col min="17" max="19" width="5.42578125" customWidth="1"/>
    <col min="20" max="20" width="29.85546875" bestFit="1" customWidth="1"/>
    <col min="21" max="21" width="14.7109375" bestFit="1" customWidth="1"/>
    <col min="22" max="22" width="10.42578125" bestFit="1" customWidth="1"/>
    <col min="25" max="25" width="29.140625" bestFit="1" customWidth="1"/>
    <col min="26" max="26" width="31.7109375" customWidth="1"/>
    <col min="27" max="27" width="42.85546875" customWidth="1"/>
  </cols>
  <sheetData>
    <row r="1" spans="1:15" ht="20.25" x14ac:dyDescent="0.3">
      <c r="A1" s="598" t="s">
        <v>509</v>
      </c>
      <c r="B1" s="598"/>
      <c r="C1" s="598"/>
      <c r="D1" s="598"/>
      <c r="E1" s="598"/>
      <c r="F1" s="598"/>
      <c r="G1" s="598"/>
      <c r="H1" s="598"/>
      <c r="I1" s="598"/>
      <c r="J1" s="598"/>
      <c r="K1" s="466"/>
      <c r="L1" s="466"/>
      <c r="M1" s="466"/>
      <c r="N1" s="466"/>
      <c r="O1" s="466"/>
    </row>
    <row r="2" spans="1:15" x14ac:dyDescent="0.2">
      <c r="A2" s="599">
        <v>40834</v>
      </c>
      <c r="B2" s="599"/>
      <c r="C2" s="599"/>
      <c r="D2" s="599"/>
      <c r="E2" s="599"/>
      <c r="F2" s="599"/>
      <c r="G2" s="599"/>
      <c r="H2" s="599"/>
      <c r="I2" s="599"/>
      <c r="J2" s="599"/>
      <c r="K2" s="467"/>
      <c r="L2" s="467"/>
      <c r="M2" s="467"/>
      <c r="N2" s="467"/>
      <c r="O2" s="467"/>
    </row>
    <row r="3" spans="1:15" ht="52.5" customHeight="1" x14ac:dyDescent="0.2">
      <c r="A3" s="606" t="s">
        <v>522</v>
      </c>
      <c r="B3" s="606"/>
      <c r="C3" s="606"/>
      <c r="D3" s="606"/>
      <c r="E3" s="606"/>
      <c r="F3" s="606"/>
      <c r="G3" s="606"/>
      <c r="H3" s="606"/>
      <c r="I3" s="606"/>
      <c r="J3" s="606"/>
      <c r="K3" s="467"/>
      <c r="L3" s="467"/>
      <c r="M3" s="467"/>
      <c r="N3" s="467"/>
      <c r="O3" s="467"/>
    </row>
    <row r="5" spans="1:15" x14ac:dyDescent="0.2">
      <c r="B5" s="1" t="s">
        <v>240</v>
      </c>
      <c r="G5" s="146" t="s">
        <v>255</v>
      </c>
    </row>
    <row r="6" spans="1:15" x14ac:dyDescent="0.2">
      <c r="B6" s="146">
        <f>Inputs!D16</f>
        <v>400</v>
      </c>
      <c r="C6" t="s">
        <v>0</v>
      </c>
      <c r="G6" s="3" t="s">
        <v>22</v>
      </c>
    </row>
    <row r="7" spans="1:15" x14ac:dyDescent="0.2">
      <c r="B7" s="46"/>
    </row>
    <row r="8" spans="1:15" ht="13.5" thickBot="1" x14ac:dyDescent="0.25">
      <c r="B8" s="46"/>
      <c r="M8" s="3"/>
    </row>
    <row r="9" spans="1:15" ht="13.5" thickTop="1" x14ac:dyDescent="0.2">
      <c r="A9" s="1" t="s">
        <v>11</v>
      </c>
      <c r="B9" s="604" t="s">
        <v>75</v>
      </c>
      <c r="C9" s="655" t="s">
        <v>78</v>
      </c>
      <c r="D9" s="649" t="s">
        <v>79</v>
      </c>
      <c r="E9" s="648" t="s">
        <v>169</v>
      </c>
      <c r="F9" s="656" t="s">
        <v>4</v>
      </c>
      <c r="G9" s="105" t="s">
        <v>8</v>
      </c>
      <c r="M9" s="3"/>
    </row>
    <row r="10" spans="1:15" ht="13.5" thickBot="1" x14ac:dyDescent="0.25">
      <c r="B10" s="605"/>
      <c r="C10" s="619"/>
      <c r="D10" s="622"/>
      <c r="E10" s="625"/>
      <c r="F10" s="630"/>
      <c r="G10" s="93" t="s">
        <v>9</v>
      </c>
      <c r="M10" s="3"/>
    </row>
    <row r="11" spans="1:15" x14ac:dyDescent="0.2">
      <c r="B11" s="154" t="s">
        <v>186</v>
      </c>
      <c r="C11" s="88" t="s">
        <v>99</v>
      </c>
      <c r="D11" s="88"/>
      <c r="E11" s="88" t="s">
        <v>99</v>
      </c>
      <c r="F11" s="133" t="s">
        <v>212</v>
      </c>
      <c r="G11" s="120">
        <f>MAX(H72,O72)</f>
        <v>2.8400000000000002E-2</v>
      </c>
      <c r="M11" s="3"/>
    </row>
    <row r="12" spans="1:15" x14ac:dyDescent="0.2">
      <c r="B12" s="154" t="s">
        <v>187</v>
      </c>
      <c r="C12" s="88" t="s">
        <v>99</v>
      </c>
      <c r="D12" s="88"/>
      <c r="E12" s="88" t="s">
        <v>99</v>
      </c>
      <c r="F12" s="89" t="s">
        <v>213</v>
      </c>
      <c r="G12" s="120">
        <f>MAX(H73,O73)</f>
        <v>3.5999999999999997E-4</v>
      </c>
      <c r="M12" s="3"/>
    </row>
    <row r="13" spans="1:15" x14ac:dyDescent="0.2">
      <c r="B13" s="154" t="s">
        <v>188</v>
      </c>
      <c r="C13" s="88" t="s">
        <v>99</v>
      </c>
      <c r="D13" s="88"/>
      <c r="E13" s="88" t="s">
        <v>99</v>
      </c>
      <c r="F13" s="89" t="s">
        <v>214</v>
      </c>
      <c r="G13" s="120">
        <f>MAX(H74,O74)</f>
        <v>2.3199999999999997E-4</v>
      </c>
      <c r="M13" s="3"/>
    </row>
    <row r="14" spans="1:15" x14ac:dyDescent="0.2">
      <c r="B14" s="154" t="s">
        <v>395</v>
      </c>
      <c r="C14" s="88" t="s">
        <v>99</v>
      </c>
      <c r="D14" s="88" t="s">
        <v>99</v>
      </c>
      <c r="E14" s="88"/>
      <c r="F14" s="89" t="s">
        <v>402</v>
      </c>
      <c r="G14" s="120">
        <f>MAX(H65,O65)</f>
        <v>0.128</v>
      </c>
      <c r="M14" s="3"/>
    </row>
    <row r="15" spans="1:15" x14ac:dyDescent="0.2">
      <c r="B15" s="154" t="s">
        <v>189</v>
      </c>
      <c r="C15" s="88" t="s">
        <v>99</v>
      </c>
      <c r="D15" s="88"/>
      <c r="E15" s="88" t="s">
        <v>99</v>
      </c>
      <c r="F15" s="89" t="s">
        <v>215</v>
      </c>
      <c r="G15" s="120">
        <f>MAX(H75,O75)</f>
        <v>8.3999999999999995E-5</v>
      </c>
      <c r="M15" s="3"/>
    </row>
    <row r="16" spans="1:15" x14ac:dyDescent="0.2">
      <c r="B16" s="155" t="s">
        <v>174</v>
      </c>
      <c r="C16" s="88" t="s">
        <v>99</v>
      </c>
      <c r="D16" s="88" t="s">
        <v>99</v>
      </c>
      <c r="E16" s="88"/>
      <c r="F16" s="89" t="s">
        <v>155</v>
      </c>
      <c r="G16" s="120">
        <f>H50</f>
        <v>1.84E-4</v>
      </c>
      <c r="M16" s="3"/>
    </row>
    <row r="17" spans="2:13" x14ac:dyDescent="0.2">
      <c r="B17" s="155" t="s">
        <v>161</v>
      </c>
      <c r="C17" s="88" t="s">
        <v>99</v>
      </c>
      <c r="D17" s="88" t="s">
        <v>99</v>
      </c>
      <c r="E17" s="88"/>
      <c r="F17" s="106" t="s">
        <v>209</v>
      </c>
      <c r="G17" s="120">
        <f>MAX(H66,O66)</f>
        <v>0.11199999999999999</v>
      </c>
      <c r="M17" s="3"/>
    </row>
    <row r="18" spans="2:13" x14ac:dyDescent="0.2">
      <c r="B18" s="154" t="s">
        <v>190</v>
      </c>
      <c r="C18" s="88" t="s">
        <v>99</v>
      </c>
      <c r="D18" s="88"/>
      <c r="E18" s="88" t="s">
        <v>99</v>
      </c>
      <c r="F18" s="89" t="s">
        <v>216</v>
      </c>
      <c r="G18" s="120">
        <f>MAX(H76,O76)</f>
        <v>1.84E-6</v>
      </c>
      <c r="M18" s="3"/>
    </row>
    <row r="19" spans="2:13" x14ac:dyDescent="0.2">
      <c r="B19" s="154" t="s">
        <v>191</v>
      </c>
      <c r="C19" s="88" t="s">
        <v>99</v>
      </c>
      <c r="D19" s="88"/>
      <c r="E19" s="88" t="s">
        <v>99</v>
      </c>
      <c r="F19" s="89" t="s">
        <v>217</v>
      </c>
      <c r="G19" s="120">
        <f>MAX(H77,O77)</f>
        <v>1.24E-7</v>
      </c>
      <c r="M19" s="3"/>
    </row>
    <row r="20" spans="2:13" x14ac:dyDescent="0.2">
      <c r="B20" s="154" t="s">
        <v>192</v>
      </c>
      <c r="C20" s="88" t="s">
        <v>99</v>
      </c>
      <c r="D20" s="88"/>
      <c r="E20" s="88" t="s">
        <v>99</v>
      </c>
      <c r="F20" s="89" t="s">
        <v>218</v>
      </c>
      <c r="G20" s="120">
        <f>MAX(H78,O78)</f>
        <v>3.76E-6</v>
      </c>
      <c r="M20" s="3"/>
    </row>
    <row r="21" spans="2:13" x14ac:dyDescent="0.2">
      <c r="B21" s="154" t="s">
        <v>194</v>
      </c>
      <c r="C21" s="88" t="s">
        <v>99</v>
      </c>
      <c r="D21" s="88"/>
      <c r="E21" s="88" t="s">
        <v>99</v>
      </c>
      <c r="F21" s="89" t="s">
        <v>220</v>
      </c>
      <c r="G21" s="120">
        <f>MAX(H79,O79)</f>
        <v>2.0000000000000002E-7</v>
      </c>
      <c r="M21" s="3"/>
    </row>
    <row r="22" spans="2:13" x14ac:dyDescent="0.2">
      <c r="B22" s="154" t="s">
        <v>195</v>
      </c>
      <c r="C22" s="88" t="s">
        <v>99</v>
      </c>
      <c r="D22" s="88"/>
      <c r="E22" s="88" t="s">
        <v>99</v>
      </c>
      <c r="F22" s="89" t="s">
        <v>221</v>
      </c>
      <c r="G22" s="120">
        <f>MAX(H80,O80)</f>
        <v>5.2000000000000002E-6</v>
      </c>
      <c r="M22" s="3"/>
    </row>
    <row r="23" spans="2:13" x14ac:dyDescent="0.2">
      <c r="B23" s="155" t="s">
        <v>175</v>
      </c>
      <c r="C23" s="88"/>
      <c r="D23" s="88" t="s">
        <v>99</v>
      </c>
      <c r="E23" s="88"/>
      <c r="F23" s="89" t="s">
        <v>156</v>
      </c>
      <c r="G23" s="120">
        <f>H51</f>
        <v>5.9999999999999995E-5</v>
      </c>
      <c r="M23" s="3"/>
    </row>
    <row r="24" spans="2:13" x14ac:dyDescent="0.2">
      <c r="B24" s="155" t="s">
        <v>176</v>
      </c>
      <c r="C24" s="88" t="s">
        <v>99</v>
      </c>
      <c r="D24" s="88" t="s">
        <v>99</v>
      </c>
      <c r="E24" s="88"/>
      <c r="F24" s="89" t="s">
        <v>157</v>
      </c>
      <c r="G24" s="120">
        <f>H52</f>
        <v>2.4399999999999999E-4</v>
      </c>
      <c r="M24" s="3"/>
    </row>
    <row r="25" spans="2:13" x14ac:dyDescent="0.2">
      <c r="B25" s="176" t="s">
        <v>350</v>
      </c>
      <c r="C25" s="88" t="s">
        <v>99</v>
      </c>
      <c r="D25" s="88"/>
      <c r="E25" s="88"/>
      <c r="F25" s="89" t="s">
        <v>344</v>
      </c>
      <c r="G25" s="120">
        <f>H53</f>
        <v>2.2800000000000001E-4</v>
      </c>
      <c r="M25" s="3"/>
    </row>
    <row r="26" spans="2:13" x14ac:dyDescent="0.2">
      <c r="B26" s="154" t="s">
        <v>196</v>
      </c>
      <c r="C26" s="88" t="s">
        <v>99</v>
      </c>
      <c r="D26" s="88"/>
      <c r="E26" s="88" t="s">
        <v>99</v>
      </c>
      <c r="F26" s="89" t="s">
        <v>222</v>
      </c>
      <c r="G26" s="120">
        <f>MAX(H81,O81)</f>
        <v>1.5200000000000001E-6</v>
      </c>
      <c r="M26" s="3"/>
    </row>
    <row r="27" spans="2:13" x14ac:dyDescent="0.2">
      <c r="B27" s="154" t="s">
        <v>425</v>
      </c>
      <c r="C27" s="88" t="s">
        <v>99</v>
      </c>
      <c r="D27" s="88"/>
      <c r="E27" s="88" t="s">
        <v>99</v>
      </c>
      <c r="F27" s="89" t="s">
        <v>426</v>
      </c>
      <c r="G27" s="120">
        <f>MAX(H82+O82)</f>
        <v>7.5999999999999992E-8</v>
      </c>
      <c r="M27" s="3"/>
    </row>
    <row r="28" spans="2:13" x14ac:dyDescent="0.2">
      <c r="B28" s="154" t="s">
        <v>179</v>
      </c>
      <c r="C28" s="88" t="s">
        <v>99</v>
      </c>
      <c r="D28" s="88" t="s">
        <v>99</v>
      </c>
      <c r="E28" s="88"/>
      <c r="F28" s="89" t="s">
        <v>204</v>
      </c>
      <c r="G28" s="120">
        <f>MAX(H67,O67)</f>
        <v>0.88</v>
      </c>
      <c r="M28" s="3"/>
    </row>
    <row r="29" spans="2:13" x14ac:dyDescent="0.2">
      <c r="B29" s="154" t="s">
        <v>197</v>
      </c>
      <c r="C29" s="88" t="s">
        <v>99</v>
      </c>
      <c r="D29" s="88"/>
      <c r="E29" s="88" t="s">
        <v>99</v>
      </c>
      <c r="F29" s="89" t="s">
        <v>223</v>
      </c>
      <c r="G29" s="120">
        <f>IF(OR(Inputs!$D$22="Y",Inputs!$D$23="Y",Inputs!$D$24="Y",Inputs!$D$25="Y"),IF(Inputs!$D$21="Y",MAX(H83,O83),IF(Inputs!$D$20="Y",MAX(H83,O83),O83)),H83)</f>
        <v>9.6000000000000009E-3</v>
      </c>
      <c r="M29" s="3"/>
    </row>
    <row r="30" spans="2:13" x14ac:dyDescent="0.2">
      <c r="B30" s="154" t="s">
        <v>198</v>
      </c>
      <c r="C30" s="88" t="s">
        <v>99</v>
      </c>
      <c r="D30" s="88"/>
      <c r="E30" s="88" t="s">
        <v>99</v>
      </c>
      <c r="F30" s="89" t="s">
        <v>224</v>
      </c>
      <c r="G30" s="120">
        <f>MAX(H84,O84)</f>
        <v>6.3999999999999994E-4</v>
      </c>
      <c r="M30" s="3"/>
    </row>
    <row r="31" spans="2:13" x14ac:dyDescent="0.2">
      <c r="B31" s="154" t="s">
        <v>180</v>
      </c>
      <c r="C31" s="88" t="s">
        <v>99</v>
      </c>
      <c r="D31" s="88" t="s">
        <v>99</v>
      </c>
      <c r="E31" s="88"/>
      <c r="F31" s="89" t="s">
        <v>210</v>
      </c>
      <c r="G31" s="120">
        <f>MAX(H68,O68)</f>
        <v>0.29599999999999999</v>
      </c>
      <c r="M31" s="3"/>
    </row>
    <row r="32" spans="2:13" x14ac:dyDescent="0.2">
      <c r="B32" s="155" t="s">
        <v>347</v>
      </c>
      <c r="C32" s="88" t="s">
        <v>99</v>
      </c>
      <c r="D32" s="88" t="s">
        <v>99</v>
      </c>
      <c r="E32" s="88"/>
      <c r="F32" s="89" t="s">
        <v>154</v>
      </c>
      <c r="G32" s="120">
        <f>H54</f>
        <v>1.9199999999999999E-5</v>
      </c>
      <c r="M32" s="3"/>
    </row>
    <row r="33" spans="1:15" x14ac:dyDescent="0.2">
      <c r="B33" s="154" t="s">
        <v>199</v>
      </c>
      <c r="C33" s="88" t="s">
        <v>99</v>
      </c>
      <c r="D33" s="88"/>
      <c r="E33" s="88" t="s">
        <v>99</v>
      </c>
      <c r="F33" s="89" t="s">
        <v>225</v>
      </c>
      <c r="G33" s="120">
        <f>MAX(H85,O85)</f>
        <v>1.1999999999999999E-7</v>
      </c>
      <c r="M33" s="3"/>
    </row>
    <row r="34" spans="1:15" x14ac:dyDescent="0.2">
      <c r="B34" s="154" t="s">
        <v>422</v>
      </c>
      <c r="C34" s="88" t="s">
        <v>99</v>
      </c>
      <c r="D34" s="88" t="s">
        <v>99</v>
      </c>
      <c r="E34" s="88"/>
      <c r="F34" s="89" t="s">
        <v>423</v>
      </c>
      <c r="G34" s="120">
        <f>H55</f>
        <v>2.7599999999999999E-3</v>
      </c>
      <c r="M34" s="3"/>
    </row>
    <row r="35" spans="1:15" x14ac:dyDescent="0.2">
      <c r="B35" s="155" t="s">
        <v>177</v>
      </c>
      <c r="C35" s="88" t="s">
        <v>99</v>
      </c>
      <c r="D35" s="88" t="s">
        <v>99</v>
      </c>
      <c r="E35" s="88"/>
      <c r="F35" s="89" t="s">
        <v>159</v>
      </c>
      <c r="G35" s="120">
        <f>H56</f>
        <v>1.64E-4</v>
      </c>
      <c r="M35" s="3"/>
    </row>
    <row r="36" spans="1:15" x14ac:dyDescent="0.2">
      <c r="B36" s="154" t="s">
        <v>200</v>
      </c>
      <c r="C36" s="88" t="s">
        <v>99</v>
      </c>
      <c r="D36" s="88" t="s">
        <v>99</v>
      </c>
      <c r="E36" s="88" t="s">
        <v>99</v>
      </c>
      <c r="F36" s="89" t="s">
        <v>226</v>
      </c>
      <c r="G36" s="120">
        <f>MAX(H86,O86)</f>
        <v>1.44E-2</v>
      </c>
      <c r="M36" s="3"/>
    </row>
    <row r="37" spans="1:15" x14ac:dyDescent="0.2">
      <c r="B37" s="155" t="s">
        <v>178</v>
      </c>
      <c r="C37" s="88" t="s">
        <v>99</v>
      </c>
      <c r="D37" s="88" t="s">
        <v>99</v>
      </c>
      <c r="E37" s="88"/>
      <c r="F37" s="89" t="s">
        <v>160</v>
      </c>
      <c r="G37" s="120">
        <f>H57</f>
        <v>1.2000000000000001E-3</v>
      </c>
      <c r="M37" s="3"/>
    </row>
    <row r="38" spans="1:15" x14ac:dyDescent="0.2">
      <c r="B38" s="154" t="s">
        <v>202</v>
      </c>
      <c r="C38" s="88" t="s">
        <v>99</v>
      </c>
      <c r="D38" s="88"/>
      <c r="E38" s="88" t="s">
        <v>99</v>
      </c>
      <c r="F38" s="89" t="s">
        <v>227</v>
      </c>
      <c r="G38" s="120">
        <f>IF(OR(Inputs!$D$22="Y",Inputs!$D$23="Y",Inputs!$D$24="Y",Inputs!$D$25="Y"),IF(Inputs!$D$21="Y",MAX(H87,O87),IF(Inputs!$D$20="Y",MAX(H87,O87),O87)),H87)</f>
        <v>1.4799999999999999E-2</v>
      </c>
      <c r="M38" s="3"/>
    </row>
    <row r="39" spans="1:15" x14ac:dyDescent="0.2">
      <c r="B39" s="154"/>
      <c r="C39" s="88"/>
      <c r="D39" s="88"/>
      <c r="E39" s="88"/>
      <c r="F39" s="89" t="s">
        <v>467</v>
      </c>
      <c r="G39" s="120">
        <f>SUM(G11:G13,G15,G18:G22,G26:G27,G29:G30,G33,G36,G38,G40)</f>
        <v>9.0528839999999999E-2</v>
      </c>
      <c r="M39" s="3"/>
    </row>
    <row r="40" spans="1:15" x14ac:dyDescent="0.2">
      <c r="B40" s="154" t="s">
        <v>203</v>
      </c>
      <c r="C40" s="88" t="s">
        <v>99</v>
      </c>
      <c r="D40" s="88"/>
      <c r="E40" s="88" t="s">
        <v>99</v>
      </c>
      <c r="F40" s="89" t="s">
        <v>228</v>
      </c>
      <c r="G40" s="120">
        <f>IF(OR(Inputs!$D$22="Y",Inputs!$D$23="Y",Inputs!$D$24="Y",Inputs!$D$25="Y"),IF(Inputs!$D$21="Y",MAX(H88,O88),IF(Inputs!$D$20="Y",MAX(H88,O88),O88)),H88)</f>
        <v>2.2000000000000002E-2</v>
      </c>
      <c r="M40" s="3"/>
    </row>
    <row r="41" spans="1:15" x14ac:dyDescent="0.2">
      <c r="B41" s="154" t="s">
        <v>398</v>
      </c>
      <c r="C41" s="88" t="s">
        <v>99</v>
      </c>
      <c r="D41" s="88" t="s">
        <v>99</v>
      </c>
      <c r="E41" s="88"/>
      <c r="F41" s="89" t="s">
        <v>401</v>
      </c>
      <c r="G41" s="120">
        <f>MAX(H69,O69)</f>
        <v>0.108</v>
      </c>
      <c r="M41" s="3"/>
    </row>
    <row r="42" spans="1:15" x14ac:dyDescent="0.2">
      <c r="B42" s="177" t="s">
        <v>348</v>
      </c>
      <c r="C42" s="63" t="s">
        <v>99</v>
      </c>
      <c r="D42" s="63" t="s">
        <v>99</v>
      </c>
      <c r="E42" s="63"/>
      <c r="F42" s="173" t="s">
        <v>346</v>
      </c>
      <c r="G42" s="120">
        <f>H58</f>
        <v>1.9599999999999999E-4</v>
      </c>
      <c r="M42" s="3"/>
    </row>
    <row r="43" spans="1:15" x14ac:dyDescent="0.2">
      <c r="B43" s="154" t="s">
        <v>184</v>
      </c>
      <c r="C43" s="88" t="s">
        <v>99</v>
      </c>
      <c r="D43" s="88" t="s">
        <v>99</v>
      </c>
      <c r="E43" s="88"/>
      <c r="F43" s="89" t="s">
        <v>207</v>
      </c>
      <c r="G43" s="120">
        <f>MAX(H70,O70)</f>
        <v>0.4</v>
      </c>
      <c r="M43" s="3"/>
    </row>
    <row r="44" spans="1:15" ht="13.5" thickBot="1" x14ac:dyDescent="0.25">
      <c r="B44" s="156" t="s">
        <v>185</v>
      </c>
      <c r="C44" s="90" t="s">
        <v>99</v>
      </c>
      <c r="D44" s="90" t="s">
        <v>99</v>
      </c>
      <c r="E44" s="90"/>
      <c r="F44" s="91" t="s">
        <v>208</v>
      </c>
      <c r="G44" s="121">
        <f>MAX(H71,O71)</f>
        <v>1.08</v>
      </c>
      <c r="M44" s="3"/>
    </row>
    <row r="45" spans="1:15" ht="13.5" thickTop="1" x14ac:dyDescent="0.2">
      <c r="B45" s="46"/>
      <c r="M45" s="3"/>
    </row>
    <row r="46" spans="1:15" ht="13.5" thickBot="1" x14ac:dyDescent="0.25"/>
    <row r="47" spans="1:15" ht="14.25" thickTop="1" thickBot="1" x14ac:dyDescent="0.25">
      <c r="A47" s="4" t="s">
        <v>229</v>
      </c>
      <c r="B47" s="610" t="s">
        <v>239</v>
      </c>
      <c r="C47" s="611"/>
      <c r="D47" s="611"/>
      <c r="E47" s="611"/>
      <c r="F47" s="611"/>
      <c r="G47" s="611"/>
      <c r="H47" s="636"/>
      <c r="I47" s="261"/>
      <c r="J47" s="260"/>
      <c r="K47" s="260"/>
      <c r="L47" s="260"/>
      <c r="M47" s="260"/>
      <c r="N47" s="260"/>
      <c r="O47" s="260"/>
    </row>
    <row r="48" spans="1:15" x14ac:dyDescent="0.2">
      <c r="A48" s="5" t="s">
        <v>421</v>
      </c>
      <c r="B48" s="628" t="s">
        <v>75</v>
      </c>
      <c r="C48" s="617" t="s">
        <v>78</v>
      </c>
      <c r="D48" s="620" t="s">
        <v>79</v>
      </c>
      <c r="E48" s="623" t="s">
        <v>169</v>
      </c>
      <c r="F48" s="628" t="s">
        <v>4</v>
      </c>
      <c r="G48" s="85" t="s">
        <v>5</v>
      </c>
      <c r="H48" s="241" t="s">
        <v>8</v>
      </c>
      <c r="I48" s="5"/>
      <c r="J48" s="181"/>
      <c r="K48" s="181"/>
      <c r="L48" s="181"/>
      <c r="M48" s="181"/>
      <c r="N48" s="181"/>
      <c r="O48" s="181"/>
    </row>
    <row r="49" spans="1:22" ht="13.5" thickBot="1" x14ac:dyDescent="0.25">
      <c r="A49" s="5"/>
      <c r="B49" s="630"/>
      <c r="C49" s="619"/>
      <c r="D49" s="622"/>
      <c r="E49" s="625"/>
      <c r="F49" s="630"/>
      <c r="G49" s="24" t="s">
        <v>6</v>
      </c>
      <c r="H49" s="78" t="s">
        <v>9</v>
      </c>
      <c r="I49" s="5"/>
      <c r="J49" s="181"/>
      <c r="K49" s="181"/>
      <c r="L49" s="181"/>
      <c r="M49" s="181"/>
      <c r="N49" s="181"/>
      <c r="O49" s="181"/>
    </row>
    <row r="50" spans="1:22" x14ac:dyDescent="0.2">
      <c r="A50" s="5"/>
      <c r="B50" s="157" t="s">
        <v>174</v>
      </c>
      <c r="C50" s="86"/>
      <c r="D50" s="86" t="s">
        <v>99</v>
      </c>
      <c r="E50" s="86"/>
      <c r="F50" s="87" t="s">
        <v>155</v>
      </c>
      <c r="G50" s="95">
        <v>4.5999999999999999E-7</v>
      </c>
      <c r="H50" s="232">
        <f t="shared" ref="H50:H58" si="0">$B$6*G50</f>
        <v>1.84E-4</v>
      </c>
      <c r="I50" s="5"/>
      <c r="J50" s="181"/>
      <c r="K50" s="181"/>
      <c r="L50" s="181"/>
      <c r="M50" s="181"/>
      <c r="N50" s="181"/>
      <c r="O50" s="181"/>
    </row>
    <row r="51" spans="1:22" x14ac:dyDescent="0.2">
      <c r="A51" s="5"/>
      <c r="B51" s="158" t="s">
        <v>175</v>
      </c>
      <c r="C51" s="88"/>
      <c r="D51" s="88" t="s">
        <v>99</v>
      </c>
      <c r="E51" s="88"/>
      <c r="F51" s="89" t="s">
        <v>156</v>
      </c>
      <c r="G51" s="96">
        <v>1.4999999999999999E-7</v>
      </c>
      <c r="H51" s="235">
        <f t="shared" si="0"/>
        <v>5.9999999999999995E-5</v>
      </c>
      <c r="I51" s="5"/>
      <c r="J51" s="181"/>
      <c r="K51" s="181"/>
      <c r="L51" s="181"/>
      <c r="M51" s="181"/>
      <c r="N51" s="181"/>
      <c r="O51" s="181"/>
    </row>
    <row r="52" spans="1:22" x14ac:dyDescent="0.2">
      <c r="A52" s="5"/>
      <c r="B52" s="158" t="s">
        <v>176</v>
      </c>
      <c r="C52" s="88"/>
      <c r="D52" s="88" t="s">
        <v>99</v>
      </c>
      <c r="E52" s="88"/>
      <c r="F52" s="89" t="s">
        <v>157</v>
      </c>
      <c r="G52" s="96">
        <v>6.0999999999999998E-7</v>
      </c>
      <c r="H52" s="235">
        <f t="shared" si="0"/>
        <v>2.4399999999999999E-4</v>
      </c>
      <c r="I52" s="5"/>
      <c r="J52" s="181"/>
      <c r="K52" s="181"/>
      <c r="L52" s="181"/>
      <c r="M52" s="181"/>
      <c r="N52" s="181"/>
      <c r="O52" s="181"/>
    </row>
    <row r="53" spans="1:22" x14ac:dyDescent="0.2">
      <c r="A53" s="5"/>
      <c r="B53" s="158" t="s">
        <v>350</v>
      </c>
      <c r="C53" s="88" t="s">
        <v>99</v>
      </c>
      <c r="D53" s="88"/>
      <c r="E53" s="88"/>
      <c r="F53" s="89" t="s">
        <v>344</v>
      </c>
      <c r="G53" s="96">
        <v>5.7000000000000005E-7</v>
      </c>
      <c r="H53" s="235">
        <f t="shared" si="0"/>
        <v>2.2800000000000001E-4</v>
      </c>
      <c r="I53" s="5"/>
      <c r="J53" s="181"/>
      <c r="K53" s="181"/>
      <c r="L53" s="181"/>
      <c r="M53" s="181"/>
      <c r="N53" s="181"/>
      <c r="O53" s="181"/>
    </row>
    <row r="54" spans="1:22" x14ac:dyDescent="0.2">
      <c r="A54" s="5"/>
      <c r="B54" s="174" t="s">
        <v>35</v>
      </c>
      <c r="C54" s="88" t="s">
        <v>99</v>
      </c>
      <c r="D54" s="88" t="s">
        <v>99</v>
      </c>
      <c r="E54" s="88"/>
      <c r="F54" s="89" t="s">
        <v>154</v>
      </c>
      <c r="G54" s="96">
        <v>4.8E-8</v>
      </c>
      <c r="H54" s="235">
        <f t="shared" si="0"/>
        <v>1.9199999999999999E-5</v>
      </c>
      <c r="I54" s="5"/>
      <c r="J54" s="181"/>
      <c r="K54" s="181"/>
      <c r="L54" s="181"/>
      <c r="M54" s="181"/>
      <c r="N54" s="181"/>
      <c r="O54" s="181"/>
    </row>
    <row r="55" spans="1:22" x14ac:dyDescent="0.2">
      <c r="A55" s="5"/>
      <c r="B55" s="158" t="s">
        <v>422</v>
      </c>
      <c r="C55" s="88" t="s">
        <v>99</v>
      </c>
      <c r="D55" s="88" t="s">
        <v>99</v>
      </c>
      <c r="E55" s="88"/>
      <c r="F55" s="89" t="s">
        <v>423</v>
      </c>
      <c r="G55" s="96">
        <v>6.9E-6</v>
      </c>
      <c r="H55" s="235">
        <f t="shared" si="0"/>
        <v>2.7599999999999999E-3</v>
      </c>
      <c r="I55" s="5"/>
      <c r="J55" s="181"/>
      <c r="K55" s="181"/>
      <c r="L55" s="181"/>
      <c r="M55" s="181"/>
      <c r="N55" s="181"/>
      <c r="O55" s="181"/>
    </row>
    <row r="56" spans="1:22" x14ac:dyDescent="0.2">
      <c r="A56" s="5"/>
      <c r="B56" s="158" t="s">
        <v>177</v>
      </c>
      <c r="C56" s="88"/>
      <c r="D56" s="88" t="s">
        <v>99</v>
      </c>
      <c r="E56" s="88"/>
      <c r="F56" s="89" t="s">
        <v>159</v>
      </c>
      <c r="G56" s="96">
        <v>4.0999999999999999E-7</v>
      </c>
      <c r="H56" s="235">
        <f t="shared" si="0"/>
        <v>1.64E-4</v>
      </c>
      <c r="I56" s="5"/>
      <c r="J56" s="181"/>
      <c r="K56" s="181"/>
      <c r="L56" s="181"/>
      <c r="M56" s="181"/>
      <c r="N56" s="181"/>
      <c r="O56" s="181"/>
    </row>
    <row r="57" spans="1:22" x14ac:dyDescent="0.2">
      <c r="A57" s="101"/>
      <c r="B57" s="158" t="s">
        <v>178</v>
      </c>
      <c r="C57" s="88"/>
      <c r="D57" s="88" t="s">
        <v>99</v>
      </c>
      <c r="E57" s="88"/>
      <c r="F57" s="89" t="s">
        <v>160</v>
      </c>
      <c r="G57" s="96">
        <v>3.0000000000000001E-6</v>
      </c>
      <c r="H57" s="235">
        <f t="shared" si="0"/>
        <v>1.2000000000000001E-3</v>
      </c>
      <c r="I57" s="5"/>
      <c r="J57" s="181"/>
      <c r="K57" s="181"/>
      <c r="L57" s="181"/>
      <c r="M57" s="181"/>
      <c r="N57" s="181"/>
      <c r="O57" s="181"/>
    </row>
    <row r="58" spans="1:22" ht="13.5" thickBot="1" x14ac:dyDescent="0.25">
      <c r="A58" s="102"/>
      <c r="B58" s="258" t="s">
        <v>348</v>
      </c>
      <c r="C58" s="90" t="s">
        <v>99</v>
      </c>
      <c r="D58" s="90" t="s">
        <v>99</v>
      </c>
      <c r="E58" s="90"/>
      <c r="F58" s="91" t="s">
        <v>346</v>
      </c>
      <c r="G58" s="103">
        <v>4.8999999999999997E-7</v>
      </c>
      <c r="H58" s="240">
        <f t="shared" si="0"/>
        <v>1.9599999999999999E-4</v>
      </c>
      <c r="I58" s="5"/>
      <c r="J58" s="181"/>
      <c r="K58" s="181"/>
      <c r="L58" s="181"/>
      <c r="M58" s="181"/>
      <c r="N58" s="181"/>
      <c r="O58" s="181"/>
    </row>
    <row r="59" spans="1:22" ht="13.5" thickTop="1" x14ac:dyDescent="0.2">
      <c r="F59" s="67"/>
      <c r="M59" s="67"/>
    </row>
    <row r="60" spans="1:22" ht="13.5" thickBot="1" x14ac:dyDescent="0.25">
      <c r="F60" s="67"/>
      <c r="R60" s="67"/>
    </row>
    <row r="61" spans="1:22" ht="13.5" thickTop="1" x14ac:dyDescent="0.2">
      <c r="A61" s="100" t="s">
        <v>427</v>
      </c>
      <c r="B61" s="208" t="s">
        <v>239</v>
      </c>
      <c r="C61" s="209"/>
      <c r="D61" s="209"/>
      <c r="E61" s="209"/>
      <c r="F61" s="209"/>
      <c r="G61" s="209"/>
      <c r="H61" s="209"/>
      <c r="I61" s="209"/>
      <c r="J61" s="209"/>
      <c r="K61" s="209"/>
      <c r="L61" s="209"/>
      <c r="M61" s="209"/>
      <c r="N61" s="209"/>
      <c r="O61" s="259"/>
      <c r="P61" s="209"/>
      <c r="Q61" s="209"/>
      <c r="R61" s="209"/>
      <c r="S61" s="209"/>
      <c r="T61" s="209"/>
      <c r="U61" s="209"/>
      <c r="V61" s="259"/>
    </row>
    <row r="62" spans="1:22" ht="13.5" thickBot="1" x14ac:dyDescent="0.25">
      <c r="A62" s="101"/>
      <c r="B62" s="613" t="s">
        <v>419</v>
      </c>
      <c r="C62" s="657"/>
      <c r="D62" s="657"/>
      <c r="E62" s="657"/>
      <c r="F62" s="657"/>
      <c r="G62" s="657"/>
      <c r="H62" s="658"/>
      <c r="I62" s="613" t="s">
        <v>367</v>
      </c>
      <c r="J62" s="657"/>
      <c r="K62" s="657"/>
      <c r="L62" s="657"/>
      <c r="M62" s="657"/>
      <c r="N62" s="657"/>
      <c r="O62" s="659"/>
    </row>
    <row r="63" spans="1:22" x14ac:dyDescent="0.2">
      <c r="A63" s="101"/>
      <c r="B63" s="628" t="s">
        <v>75</v>
      </c>
      <c r="C63" s="617" t="s">
        <v>78</v>
      </c>
      <c r="D63" s="620" t="s">
        <v>79</v>
      </c>
      <c r="E63" s="623" t="s">
        <v>169</v>
      </c>
      <c r="F63" s="628" t="s">
        <v>4</v>
      </c>
      <c r="G63" s="85" t="s">
        <v>5</v>
      </c>
      <c r="H63" s="85" t="s">
        <v>8</v>
      </c>
      <c r="I63" s="628" t="s">
        <v>75</v>
      </c>
      <c r="J63" s="617" t="s">
        <v>78</v>
      </c>
      <c r="K63" s="620" t="s">
        <v>79</v>
      </c>
      <c r="L63" s="623" t="s">
        <v>169</v>
      </c>
      <c r="M63" s="628" t="s">
        <v>4</v>
      </c>
      <c r="N63" s="85" t="s">
        <v>5</v>
      </c>
      <c r="O63" s="92" t="s">
        <v>8</v>
      </c>
    </row>
    <row r="64" spans="1:22" ht="13.5" thickBot="1" x14ac:dyDescent="0.25">
      <c r="A64" s="5"/>
      <c r="B64" s="630"/>
      <c r="C64" s="619"/>
      <c r="D64" s="622"/>
      <c r="E64" s="625"/>
      <c r="F64" s="630"/>
      <c r="G64" s="24" t="s">
        <v>6</v>
      </c>
      <c r="H64" s="24" t="s">
        <v>9</v>
      </c>
      <c r="I64" s="630"/>
      <c r="J64" s="619"/>
      <c r="K64" s="622"/>
      <c r="L64" s="625"/>
      <c r="M64" s="630"/>
      <c r="N64" s="24" t="s">
        <v>6</v>
      </c>
      <c r="O64" s="93" t="s">
        <v>9</v>
      </c>
      <c r="Q64" s="69"/>
    </row>
    <row r="65" spans="1:41" x14ac:dyDescent="0.2">
      <c r="A65" s="5"/>
      <c r="B65" s="157" t="s">
        <v>395</v>
      </c>
      <c r="C65" s="86" t="s">
        <v>99</v>
      </c>
      <c r="D65" s="86" t="s">
        <v>99</v>
      </c>
      <c r="E65" s="86"/>
      <c r="F65" s="104" t="s">
        <v>424</v>
      </c>
      <c r="G65" s="95">
        <v>3.2000000000000003E-4</v>
      </c>
      <c r="H65" s="266">
        <f t="shared" ref="H65:H88" si="1">$B$6*G65</f>
        <v>0.128</v>
      </c>
      <c r="I65" s="157" t="s">
        <v>395</v>
      </c>
      <c r="J65" s="86" t="s">
        <v>99</v>
      </c>
      <c r="K65" s="86" t="s">
        <v>99</v>
      </c>
      <c r="L65" s="86"/>
      <c r="M65" s="104" t="s">
        <v>424</v>
      </c>
      <c r="N65" s="86">
        <v>3.2000000000000003E-4</v>
      </c>
      <c r="O65" s="119">
        <f t="shared" ref="O65:O88" si="2">$B$6*N65</f>
        <v>0.128</v>
      </c>
      <c r="Q65" s="69"/>
    </row>
    <row r="66" spans="1:41" x14ac:dyDescent="0.2">
      <c r="A66" s="101" t="s">
        <v>232</v>
      </c>
      <c r="B66" s="262" t="s">
        <v>161</v>
      </c>
      <c r="C66" s="191" t="s">
        <v>99</v>
      </c>
      <c r="D66" s="191" t="s">
        <v>99</v>
      </c>
      <c r="E66" s="191" t="s">
        <v>99</v>
      </c>
      <c r="F66" s="263" t="s">
        <v>209</v>
      </c>
      <c r="G66" s="264">
        <v>2.7999999999999998E-4</v>
      </c>
      <c r="H66" s="265">
        <f t="shared" si="1"/>
        <v>0.11199999999999999</v>
      </c>
      <c r="I66" s="262" t="s">
        <v>161</v>
      </c>
      <c r="J66" s="191" t="s">
        <v>99</v>
      </c>
      <c r="K66" s="191" t="s">
        <v>99</v>
      </c>
      <c r="L66" s="191" t="s">
        <v>99</v>
      </c>
      <c r="M66" s="263" t="s">
        <v>209</v>
      </c>
      <c r="N66" s="264">
        <v>2.7999999999999998E-4</v>
      </c>
      <c r="O66" s="120">
        <f t="shared" si="2"/>
        <v>0.11199999999999999</v>
      </c>
      <c r="Q66" s="69"/>
    </row>
    <row r="67" spans="1:41" x14ac:dyDescent="0.2">
      <c r="A67" s="101"/>
      <c r="B67" s="159" t="s">
        <v>179</v>
      </c>
      <c r="C67" s="88" t="s">
        <v>99</v>
      </c>
      <c r="D67" s="88" t="s">
        <v>99</v>
      </c>
      <c r="E67" s="88"/>
      <c r="F67" s="89" t="s">
        <v>204</v>
      </c>
      <c r="G67" s="113">
        <v>2.2000000000000001E-3</v>
      </c>
      <c r="H67" s="117">
        <f t="shared" si="1"/>
        <v>0.88</v>
      </c>
      <c r="I67" s="159" t="s">
        <v>179</v>
      </c>
      <c r="J67" s="88" t="s">
        <v>99</v>
      </c>
      <c r="K67" s="88" t="s">
        <v>99</v>
      </c>
      <c r="L67" s="88"/>
      <c r="M67" s="89" t="s">
        <v>204</v>
      </c>
      <c r="N67" s="113">
        <v>2.2000000000000001E-3</v>
      </c>
      <c r="O67" s="120">
        <f t="shared" si="2"/>
        <v>0.88</v>
      </c>
      <c r="Q67" s="69"/>
    </row>
    <row r="68" spans="1:41" x14ac:dyDescent="0.2">
      <c r="A68" s="101"/>
      <c r="B68" s="159" t="s">
        <v>180</v>
      </c>
      <c r="C68" s="88" t="s">
        <v>99</v>
      </c>
      <c r="D68" s="88" t="s">
        <v>99</v>
      </c>
      <c r="E68" s="88" t="s">
        <v>99</v>
      </c>
      <c r="F68" s="89" t="s">
        <v>210</v>
      </c>
      <c r="G68" s="113">
        <v>7.3999999999999999E-4</v>
      </c>
      <c r="H68" s="117">
        <f t="shared" si="1"/>
        <v>0.29599999999999999</v>
      </c>
      <c r="I68" s="159" t="s">
        <v>180</v>
      </c>
      <c r="J68" s="88" t="s">
        <v>99</v>
      </c>
      <c r="K68" s="88" t="s">
        <v>99</v>
      </c>
      <c r="L68" s="88" t="s">
        <v>99</v>
      </c>
      <c r="M68" s="89" t="s">
        <v>210</v>
      </c>
      <c r="N68" s="113">
        <v>7.3999999999999999E-4</v>
      </c>
      <c r="O68" s="120">
        <f t="shared" si="2"/>
        <v>0.29599999999999999</v>
      </c>
      <c r="Q68" s="69"/>
      <c r="AD68" t="s">
        <v>49</v>
      </c>
      <c r="AE68" t="s">
        <v>50</v>
      </c>
      <c r="AF68" t="s">
        <v>51</v>
      </c>
      <c r="AG68" t="s">
        <v>43</v>
      </c>
      <c r="AH68" t="s">
        <v>46</v>
      </c>
    </row>
    <row r="69" spans="1:41" x14ac:dyDescent="0.2">
      <c r="A69" s="101"/>
      <c r="B69" s="159" t="s">
        <v>398</v>
      </c>
      <c r="C69" s="88" t="s">
        <v>99</v>
      </c>
      <c r="D69" s="88" t="s">
        <v>99</v>
      </c>
      <c r="E69" s="88"/>
      <c r="F69" s="89" t="s">
        <v>401</v>
      </c>
      <c r="G69" s="113">
        <v>2.7E-4</v>
      </c>
      <c r="H69" s="117">
        <f t="shared" si="1"/>
        <v>0.108</v>
      </c>
      <c r="I69" s="159" t="s">
        <v>398</v>
      </c>
      <c r="J69" s="88" t="s">
        <v>99</v>
      </c>
      <c r="K69" s="88" t="s">
        <v>99</v>
      </c>
      <c r="L69" s="88"/>
      <c r="M69" s="89" t="s">
        <v>401</v>
      </c>
      <c r="N69" s="113">
        <v>2.7E-4</v>
      </c>
      <c r="O69" s="120">
        <f t="shared" si="2"/>
        <v>0.108</v>
      </c>
      <c r="Q69" s="69"/>
    </row>
    <row r="70" spans="1:41" x14ac:dyDescent="0.2">
      <c r="A70" s="101"/>
      <c r="B70" s="159" t="s">
        <v>184</v>
      </c>
      <c r="C70" s="88" t="s">
        <v>99</v>
      </c>
      <c r="D70" s="88" t="s">
        <v>99</v>
      </c>
      <c r="E70" s="88" t="s">
        <v>99</v>
      </c>
      <c r="F70" s="89" t="s">
        <v>207</v>
      </c>
      <c r="G70" s="113">
        <v>1E-3</v>
      </c>
      <c r="H70" s="117">
        <f t="shared" si="1"/>
        <v>0.4</v>
      </c>
      <c r="I70" s="159" t="s">
        <v>184</v>
      </c>
      <c r="J70" s="88" t="s">
        <v>99</v>
      </c>
      <c r="K70" s="88" t="s">
        <v>99</v>
      </c>
      <c r="L70" s="88" t="s">
        <v>99</v>
      </c>
      <c r="M70" s="89" t="s">
        <v>207</v>
      </c>
      <c r="N70" s="113">
        <v>1E-3</v>
      </c>
      <c r="O70" s="120">
        <f t="shared" si="2"/>
        <v>0.4</v>
      </c>
      <c r="Q70" s="69"/>
      <c r="AD70" t="s">
        <v>60</v>
      </c>
      <c r="AE70" t="s">
        <v>61</v>
      </c>
      <c r="AF70" t="s">
        <v>162</v>
      </c>
      <c r="AG70" t="s">
        <v>43</v>
      </c>
      <c r="AH70" t="s">
        <v>163</v>
      </c>
    </row>
    <row r="71" spans="1:41" x14ac:dyDescent="0.2">
      <c r="A71" s="5"/>
      <c r="B71" s="159" t="s">
        <v>185</v>
      </c>
      <c r="C71" s="88" t="s">
        <v>99</v>
      </c>
      <c r="D71" s="88" t="s">
        <v>99</v>
      </c>
      <c r="E71" s="88"/>
      <c r="F71" s="89" t="s">
        <v>208</v>
      </c>
      <c r="G71" s="113">
        <v>2.7000000000000001E-3</v>
      </c>
      <c r="H71" s="117">
        <f t="shared" si="1"/>
        <v>1.08</v>
      </c>
      <c r="I71" s="159" t="s">
        <v>185</v>
      </c>
      <c r="J71" s="88" t="s">
        <v>99</v>
      </c>
      <c r="K71" s="88" t="s">
        <v>99</v>
      </c>
      <c r="L71" s="88"/>
      <c r="M71" s="89" t="s">
        <v>208</v>
      </c>
      <c r="N71" s="113">
        <v>2.7000000000000001E-3</v>
      </c>
      <c r="O71" s="120">
        <f t="shared" si="2"/>
        <v>1.08</v>
      </c>
      <c r="Q71" s="69"/>
      <c r="AD71" t="s">
        <v>62</v>
      </c>
      <c r="AE71" t="s">
        <v>63</v>
      </c>
      <c r="AF71" t="s">
        <v>64</v>
      </c>
      <c r="AG71" t="s">
        <v>43</v>
      </c>
      <c r="AH71" t="s">
        <v>46</v>
      </c>
    </row>
    <row r="72" spans="1:41" x14ac:dyDescent="0.2">
      <c r="A72" s="101" t="s">
        <v>233</v>
      </c>
      <c r="B72" s="159" t="s">
        <v>186</v>
      </c>
      <c r="C72" s="88" t="s">
        <v>99</v>
      </c>
      <c r="D72" s="88"/>
      <c r="E72" s="88" t="s">
        <v>99</v>
      </c>
      <c r="F72" s="89" t="s">
        <v>212</v>
      </c>
      <c r="G72" s="113">
        <v>7.1000000000000005E-5</v>
      </c>
      <c r="H72" s="117">
        <f t="shared" si="1"/>
        <v>2.8400000000000002E-2</v>
      </c>
      <c r="I72" s="159" t="s">
        <v>186</v>
      </c>
      <c r="J72" s="88" t="s">
        <v>99</v>
      </c>
      <c r="K72" s="88"/>
      <c r="L72" s="88" t="s">
        <v>99</v>
      </c>
      <c r="M72" s="89" t="s">
        <v>212</v>
      </c>
      <c r="N72" s="113">
        <v>7.1000000000000005E-5</v>
      </c>
      <c r="O72" s="120">
        <f t="shared" si="2"/>
        <v>2.8400000000000002E-2</v>
      </c>
      <c r="R72" s="67"/>
      <c r="S72" s="68"/>
      <c r="X72" s="69"/>
      <c r="AK72" t="s">
        <v>65</v>
      </c>
      <c r="AL72" t="s">
        <v>66</v>
      </c>
      <c r="AM72" t="s">
        <v>164</v>
      </c>
      <c r="AN72" t="s">
        <v>45</v>
      </c>
      <c r="AO72" t="s">
        <v>165</v>
      </c>
    </row>
    <row r="73" spans="1:41" x14ac:dyDescent="0.2">
      <c r="A73" s="101"/>
      <c r="B73" s="159" t="s">
        <v>187</v>
      </c>
      <c r="C73" s="88" t="s">
        <v>99</v>
      </c>
      <c r="D73" s="88"/>
      <c r="E73" s="88" t="s">
        <v>99</v>
      </c>
      <c r="F73" s="89" t="s">
        <v>213</v>
      </c>
      <c r="G73" s="113">
        <v>8.9999999999999996E-7</v>
      </c>
      <c r="H73" s="117">
        <f t="shared" si="1"/>
        <v>3.5999999999999997E-4</v>
      </c>
      <c r="I73" s="159" t="s">
        <v>187</v>
      </c>
      <c r="J73" s="88" t="s">
        <v>99</v>
      </c>
      <c r="K73" s="88"/>
      <c r="L73" s="88" t="s">
        <v>99</v>
      </c>
      <c r="M73" s="89" t="s">
        <v>213</v>
      </c>
      <c r="N73" s="113">
        <v>8.9999999999999996E-7</v>
      </c>
      <c r="O73" s="120">
        <f t="shared" si="2"/>
        <v>3.5999999999999997E-4</v>
      </c>
      <c r="R73" s="67"/>
      <c r="S73" s="68"/>
      <c r="X73" s="69"/>
      <c r="AK73" t="s">
        <v>67</v>
      </c>
      <c r="AL73" t="s">
        <v>68</v>
      </c>
      <c r="AM73" t="s">
        <v>69</v>
      </c>
      <c r="AN73" t="s">
        <v>43</v>
      </c>
      <c r="AO73" t="s">
        <v>46</v>
      </c>
    </row>
    <row r="74" spans="1:41" x14ac:dyDescent="0.2">
      <c r="A74" s="101"/>
      <c r="B74" s="159" t="s">
        <v>188</v>
      </c>
      <c r="C74" s="88" t="s">
        <v>99</v>
      </c>
      <c r="D74" s="88"/>
      <c r="E74" s="88" t="s">
        <v>99</v>
      </c>
      <c r="F74" s="89" t="s">
        <v>214</v>
      </c>
      <c r="G74" s="113">
        <v>5.7999999999999995E-7</v>
      </c>
      <c r="H74" s="117">
        <f t="shared" si="1"/>
        <v>2.3199999999999997E-4</v>
      </c>
      <c r="I74" s="159" t="s">
        <v>188</v>
      </c>
      <c r="J74" s="88" t="s">
        <v>99</v>
      </c>
      <c r="K74" s="88"/>
      <c r="L74" s="88" t="s">
        <v>99</v>
      </c>
      <c r="M74" s="89" t="s">
        <v>214</v>
      </c>
      <c r="N74" s="113">
        <v>5.7999999999999995E-7</v>
      </c>
      <c r="O74" s="120">
        <f t="shared" si="2"/>
        <v>2.3199999999999997E-4</v>
      </c>
      <c r="X74" s="69"/>
      <c r="AK74" t="s">
        <v>70</v>
      </c>
      <c r="AL74" t="s">
        <v>71</v>
      </c>
      <c r="AM74" t="s">
        <v>166</v>
      </c>
      <c r="AN74" t="s">
        <v>45</v>
      </c>
      <c r="AO74" t="s">
        <v>167</v>
      </c>
    </row>
    <row r="75" spans="1:41" x14ac:dyDescent="0.2">
      <c r="A75" s="101"/>
      <c r="B75" s="159" t="s">
        <v>189</v>
      </c>
      <c r="C75" s="88" t="s">
        <v>99</v>
      </c>
      <c r="D75" s="88"/>
      <c r="E75" s="88" t="s">
        <v>99</v>
      </c>
      <c r="F75" s="89" t="s">
        <v>215</v>
      </c>
      <c r="G75" s="113">
        <v>2.1E-7</v>
      </c>
      <c r="H75" s="117">
        <f t="shared" si="1"/>
        <v>8.3999999999999995E-5</v>
      </c>
      <c r="I75" s="159" t="s">
        <v>189</v>
      </c>
      <c r="J75" s="88" t="s">
        <v>99</v>
      </c>
      <c r="K75" s="88"/>
      <c r="L75" s="88" t="s">
        <v>99</v>
      </c>
      <c r="M75" s="89" t="s">
        <v>215</v>
      </c>
      <c r="N75" s="113">
        <v>2.1E-7</v>
      </c>
      <c r="O75" s="120">
        <f t="shared" si="2"/>
        <v>8.3999999999999995E-5</v>
      </c>
      <c r="X75" s="69"/>
      <c r="AK75" t="s">
        <v>72</v>
      </c>
      <c r="AL75" t="s">
        <v>73</v>
      </c>
      <c r="AM75" t="s">
        <v>168</v>
      </c>
      <c r="AN75" t="s">
        <v>43</v>
      </c>
      <c r="AO75" t="s">
        <v>74</v>
      </c>
    </row>
    <row r="76" spans="1:41" x14ac:dyDescent="0.2">
      <c r="A76" s="101"/>
      <c r="B76" s="159" t="s">
        <v>190</v>
      </c>
      <c r="C76" s="88" t="s">
        <v>99</v>
      </c>
      <c r="D76" s="88"/>
      <c r="E76" s="88" t="s">
        <v>99</v>
      </c>
      <c r="F76" s="89" t="s">
        <v>216</v>
      </c>
      <c r="G76" s="113">
        <v>4.5999999999999998E-9</v>
      </c>
      <c r="H76" s="117">
        <f t="shared" si="1"/>
        <v>1.84E-6</v>
      </c>
      <c r="I76" s="159" t="s">
        <v>190</v>
      </c>
      <c r="J76" s="88" t="s">
        <v>99</v>
      </c>
      <c r="K76" s="88"/>
      <c r="L76" s="88" t="s">
        <v>99</v>
      </c>
      <c r="M76" s="89" t="s">
        <v>216</v>
      </c>
      <c r="N76" s="113">
        <v>4.5999999999999998E-9</v>
      </c>
      <c r="O76" s="120">
        <f t="shared" si="2"/>
        <v>1.84E-6</v>
      </c>
      <c r="X76" s="69"/>
    </row>
    <row r="77" spans="1:41" x14ac:dyDescent="0.2">
      <c r="A77" s="101"/>
      <c r="B77" s="159" t="s">
        <v>191</v>
      </c>
      <c r="C77" s="88" t="s">
        <v>99</v>
      </c>
      <c r="D77" s="88"/>
      <c r="E77" s="88" t="s">
        <v>99</v>
      </c>
      <c r="F77" s="89" t="s">
        <v>217</v>
      </c>
      <c r="G77" s="113">
        <v>3.1000000000000002E-10</v>
      </c>
      <c r="H77" s="117">
        <f t="shared" si="1"/>
        <v>1.24E-7</v>
      </c>
      <c r="I77" s="159" t="s">
        <v>191</v>
      </c>
      <c r="J77" s="88" t="s">
        <v>99</v>
      </c>
      <c r="K77" s="88"/>
      <c r="L77" s="88" t="s">
        <v>99</v>
      </c>
      <c r="M77" s="89" t="s">
        <v>217</v>
      </c>
      <c r="N77" s="113">
        <v>3.1000000000000002E-10</v>
      </c>
      <c r="O77" s="120">
        <f t="shared" si="2"/>
        <v>1.24E-7</v>
      </c>
      <c r="X77" s="69"/>
    </row>
    <row r="78" spans="1:41" x14ac:dyDescent="0.2">
      <c r="A78" s="101"/>
      <c r="B78" s="159" t="s">
        <v>192</v>
      </c>
      <c r="C78" s="88" t="s">
        <v>99</v>
      </c>
      <c r="D78" s="88"/>
      <c r="E78" s="88" t="s">
        <v>99</v>
      </c>
      <c r="F78" s="89" t="s">
        <v>218</v>
      </c>
      <c r="G78" s="113">
        <v>9.3999999999999998E-9</v>
      </c>
      <c r="H78" s="117">
        <f t="shared" si="1"/>
        <v>3.76E-6</v>
      </c>
      <c r="I78" s="159" t="s">
        <v>192</v>
      </c>
      <c r="J78" s="88" t="s">
        <v>99</v>
      </c>
      <c r="K78" s="88"/>
      <c r="L78" s="88" t="s">
        <v>99</v>
      </c>
      <c r="M78" s="89" t="s">
        <v>218</v>
      </c>
      <c r="N78" s="113">
        <v>9.3999999999999998E-9</v>
      </c>
      <c r="O78" s="120">
        <f t="shared" si="2"/>
        <v>3.76E-6</v>
      </c>
      <c r="X78" s="69"/>
    </row>
    <row r="79" spans="1:41" x14ac:dyDescent="0.2">
      <c r="A79" s="101"/>
      <c r="B79" s="159" t="s">
        <v>194</v>
      </c>
      <c r="C79" s="88" t="s">
        <v>99</v>
      </c>
      <c r="D79" s="88"/>
      <c r="E79" s="88" t="s">
        <v>99</v>
      </c>
      <c r="F79" s="89" t="s">
        <v>220</v>
      </c>
      <c r="G79" s="113">
        <v>5.0000000000000003E-10</v>
      </c>
      <c r="H79" s="117">
        <f t="shared" si="1"/>
        <v>2.0000000000000002E-7</v>
      </c>
      <c r="I79" s="159" t="s">
        <v>194</v>
      </c>
      <c r="J79" s="88" t="s">
        <v>99</v>
      </c>
      <c r="K79" s="88"/>
      <c r="L79" s="88" t="s">
        <v>99</v>
      </c>
      <c r="M79" s="89" t="s">
        <v>220</v>
      </c>
      <c r="N79" s="113">
        <v>5.0000000000000003E-10</v>
      </c>
      <c r="O79" s="120">
        <f t="shared" si="2"/>
        <v>2.0000000000000002E-7</v>
      </c>
      <c r="X79" s="69"/>
    </row>
    <row r="80" spans="1:41" x14ac:dyDescent="0.2">
      <c r="A80" s="101"/>
      <c r="B80" s="159" t="s">
        <v>195</v>
      </c>
      <c r="C80" s="88" t="s">
        <v>99</v>
      </c>
      <c r="D80" s="88"/>
      <c r="E80" s="88" t="s">
        <v>99</v>
      </c>
      <c r="F80" s="89" t="s">
        <v>221</v>
      </c>
      <c r="G80" s="113">
        <v>1.3000000000000001E-8</v>
      </c>
      <c r="H80" s="117">
        <f t="shared" si="1"/>
        <v>5.2000000000000002E-6</v>
      </c>
      <c r="I80" s="159" t="s">
        <v>195</v>
      </c>
      <c r="J80" s="88" t="s">
        <v>99</v>
      </c>
      <c r="K80" s="88"/>
      <c r="L80" s="88" t="s">
        <v>99</v>
      </c>
      <c r="M80" s="89" t="s">
        <v>221</v>
      </c>
      <c r="N80" s="113">
        <v>1.3000000000000001E-8</v>
      </c>
      <c r="O80" s="120">
        <f t="shared" si="2"/>
        <v>5.2000000000000002E-6</v>
      </c>
      <c r="X80" s="69"/>
    </row>
    <row r="81" spans="1:24" x14ac:dyDescent="0.2">
      <c r="A81" s="101"/>
      <c r="B81" s="159" t="s">
        <v>196</v>
      </c>
      <c r="C81" s="88" t="s">
        <v>99</v>
      </c>
      <c r="D81" s="88"/>
      <c r="E81" s="88" t="s">
        <v>99</v>
      </c>
      <c r="F81" s="89" t="s">
        <v>222</v>
      </c>
      <c r="G81" s="113">
        <v>3.8000000000000001E-9</v>
      </c>
      <c r="H81" s="117">
        <f t="shared" si="1"/>
        <v>1.5200000000000001E-6</v>
      </c>
      <c r="I81" s="159" t="s">
        <v>196</v>
      </c>
      <c r="J81" s="88" t="s">
        <v>99</v>
      </c>
      <c r="K81" s="88"/>
      <c r="L81" s="88" t="s">
        <v>99</v>
      </c>
      <c r="M81" s="89" t="s">
        <v>222</v>
      </c>
      <c r="N81" s="113">
        <v>3.8000000000000001E-9</v>
      </c>
      <c r="O81" s="120">
        <f t="shared" si="2"/>
        <v>1.5200000000000001E-6</v>
      </c>
      <c r="X81" s="69"/>
    </row>
    <row r="82" spans="1:24" x14ac:dyDescent="0.2">
      <c r="A82" s="101"/>
      <c r="B82" s="159" t="s">
        <v>425</v>
      </c>
      <c r="C82" s="88" t="s">
        <v>99</v>
      </c>
      <c r="D82" s="88"/>
      <c r="E82" s="88" t="s">
        <v>99</v>
      </c>
      <c r="F82" s="89" t="s">
        <v>426</v>
      </c>
      <c r="G82" s="113">
        <v>9.4999999999999995E-11</v>
      </c>
      <c r="H82" s="117">
        <f t="shared" si="1"/>
        <v>3.7999999999999996E-8</v>
      </c>
      <c r="I82" s="159" t="s">
        <v>425</v>
      </c>
      <c r="J82" s="88" t="s">
        <v>99</v>
      </c>
      <c r="K82" s="88"/>
      <c r="L82" s="88" t="s">
        <v>99</v>
      </c>
      <c r="M82" s="89" t="s">
        <v>426</v>
      </c>
      <c r="N82" s="113">
        <v>9.4999999999999995E-11</v>
      </c>
      <c r="O82" s="120">
        <f t="shared" si="2"/>
        <v>3.7999999999999996E-8</v>
      </c>
      <c r="X82" s="69"/>
    </row>
    <row r="83" spans="1:24" x14ac:dyDescent="0.2">
      <c r="A83" s="101"/>
      <c r="B83" s="159" t="s">
        <v>197</v>
      </c>
      <c r="C83" s="88" t="s">
        <v>99</v>
      </c>
      <c r="D83" s="88"/>
      <c r="E83" s="88" t="s">
        <v>99</v>
      </c>
      <c r="F83" s="89" t="s">
        <v>223</v>
      </c>
      <c r="G83" s="113">
        <v>1.6E-7</v>
      </c>
      <c r="H83" s="117">
        <f t="shared" si="1"/>
        <v>6.3999999999999997E-5</v>
      </c>
      <c r="I83" s="159" t="s">
        <v>197</v>
      </c>
      <c r="J83" s="88" t="s">
        <v>99</v>
      </c>
      <c r="K83" s="88"/>
      <c r="L83" s="88" t="s">
        <v>99</v>
      </c>
      <c r="M83" s="89" t="s">
        <v>223</v>
      </c>
      <c r="N83" s="113">
        <v>2.4000000000000001E-5</v>
      </c>
      <c r="O83" s="120">
        <f t="shared" si="2"/>
        <v>9.6000000000000009E-3</v>
      </c>
      <c r="X83" s="69"/>
    </row>
    <row r="84" spans="1:24" x14ac:dyDescent="0.2">
      <c r="A84" s="101"/>
      <c r="B84" s="159" t="s">
        <v>198</v>
      </c>
      <c r="C84" s="88" t="s">
        <v>99</v>
      </c>
      <c r="D84" s="88"/>
      <c r="E84" s="88" t="s">
        <v>99</v>
      </c>
      <c r="F84" s="89" t="s">
        <v>224</v>
      </c>
      <c r="G84" s="113">
        <v>1.5999999999999999E-6</v>
      </c>
      <c r="H84" s="117">
        <f t="shared" si="1"/>
        <v>6.3999999999999994E-4</v>
      </c>
      <c r="I84" s="159" t="s">
        <v>198</v>
      </c>
      <c r="J84" s="88" t="s">
        <v>99</v>
      </c>
      <c r="K84" s="88"/>
      <c r="L84" s="88" t="s">
        <v>99</v>
      </c>
      <c r="M84" s="89" t="s">
        <v>224</v>
      </c>
      <c r="N84" s="113">
        <v>1.5999999999999999E-6</v>
      </c>
      <c r="O84" s="120">
        <f t="shared" si="2"/>
        <v>6.3999999999999994E-4</v>
      </c>
      <c r="X84" s="69"/>
    </row>
    <row r="85" spans="1:24" x14ac:dyDescent="0.2">
      <c r="A85" s="101"/>
      <c r="B85" s="159" t="s">
        <v>199</v>
      </c>
      <c r="C85" s="88" t="s">
        <v>99</v>
      </c>
      <c r="D85" s="88"/>
      <c r="E85" s="88" t="s">
        <v>99</v>
      </c>
      <c r="F85" s="89" t="s">
        <v>225</v>
      </c>
      <c r="G85" s="113">
        <v>3E-10</v>
      </c>
      <c r="H85" s="117">
        <f t="shared" si="1"/>
        <v>1.1999999999999999E-7</v>
      </c>
      <c r="I85" s="159" t="s">
        <v>199</v>
      </c>
      <c r="J85" s="88" t="s">
        <v>99</v>
      </c>
      <c r="K85" s="88"/>
      <c r="L85" s="88" t="s">
        <v>99</v>
      </c>
      <c r="M85" s="89" t="s">
        <v>225</v>
      </c>
      <c r="N85" s="113">
        <v>3E-10</v>
      </c>
      <c r="O85" s="120">
        <f t="shared" si="2"/>
        <v>1.1999999999999999E-7</v>
      </c>
      <c r="X85" s="69"/>
    </row>
    <row r="86" spans="1:24" x14ac:dyDescent="0.2">
      <c r="A86" s="101"/>
      <c r="B86" s="159" t="s">
        <v>200</v>
      </c>
      <c r="C86" s="88" t="s">
        <v>99</v>
      </c>
      <c r="D86" s="88" t="s">
        <v>99</v>
      </c>
      <c r="E86" s="88" t="s">
        <v>99</v>
      </c>
      <c r="F86" s="89" t="s">
        <v>226</v>
      </c>
      <c r="G86" s="113">
        <v>3.6000000000000001E-5</v>
      </c>
      <c r="H86" s="117">
        <f t="shared" si="1"/>
        <v>1.44E-2</v>
      </c>
      <c r="I86" s="159" t="s">
        <v>200</v>
      </c>
      <c r="J86" s="88" t="s">
        <v>99</v>
      </c>
      <c r="K86" s="88"/>
      <c r="L86" s="88" t="s">
        <v>99</v>
      </c>
      <c r="M86" s="89" t="s">
        <v>226</v>
      </c>
      <c r="N86" s="113">
        <v>3.6000000000000001E-5</v>
      </c>
      <c r="O86" s="120">
        <f t="shared" si="2"/>
        <v>1.44E-2</v>
      </c>
      <c r="X86" s="69"/>
    </row>
    <row r="87" spans="1:24" x14ac:dyDescent="0.2">
      <c r="A87" s="101"/>
      <c r="B87" s="159" t="s">
        <v>202</v>
      </c>
      <c r="C87" s="88" t="s">
        <v>99</v>
      </c>
      <c r="D87" s="88"/>
      <c r="E87" s="88" t="s">
        <v>99</v>
      </c>
      <c r="F87" s="89" t="s">
        <v>227</v>
      </c>
      <c r="G87" s="113">
        <v>2.6000000000000001E-6</v>
      </c>
      <c r="H87" s="117">
        <f t="shared" si="1"/>
        <v>1.0400000000000001E-3</v>
      </c>
      <c r="I87" s="159" t="s">
        <v>202</v>
      </c>
      <c r="J87" s="88" t="s">
        <v>99</v>
      </c>
      <c r="K87" s="88"/>
      <c r="L87" s="88" t="s">
        <v>99</v>
      </c>
      <c r="M87" s="89" t="s">
        <v>227</v>
      </c>
      <c r="N87" s="113">
        <v>3.6999999999999998E-5</v>
      </c>
      <c r="O87" s="120">
        <f t="shared" si="2"/>
        <v>1.4799999999999999E-2</v>
      </c>
      <c r="X87" s="69"/>
    </row>
    <row r="88" spans="1:24" ht="13.5" thickBot="1" x14ac:dyDescent="0.25">
      <c r="A88" s="102"/>
      <c r="B88" s="267" t="s">
        <v>203</v>
      </c>
      <c r="C88" s="90" t="s">
        <v>99</v>
      </c>
      <c r="D88" s="90"/>
      <c r="E88" s="90" t="s">
        <v>99</v>
      </c>
      <c r="F88" s="91" t="s">
        <v>228</v>
      </c>
      <c r="G88" s="268">
        <v>6.1999999999999999E-8</v>
      </c>
      <c r="H88" s="122">
        <f t="shared" si="1"/>
        <v>2.48E-5</v>
      </c>
      <c r="I88" s="267" t="s">
        <v>203</v>
      </c>
      <c r="J88" s="90" t="s">
        <v>99</v>
      </c>
      <c r="K88" s="90"/>
      <c r="L88" s="90" t="s">
        <v>99</v>
      </c>
      <c r="M88" s="91" t="s">
        <v>228</v>
      </c>
      <c r="N88" s="268">
        <v>5.5000000000000002E-5</v>
      </c>
      <c r="O88" s="121">
        <f t="shared" si="2"/>
        <v>2.2000000000000002E-2</v>
      </c>
      <c r="X88" s="69"/>
    </row>
    <row r="89" spans="1:24" ht="13.5" thickTop="1" x14ac:dyDescent="0.2">
      <c r="B89" s="67"/>
      <c r="F89" s="67"/>
      <c r="G89" s="68"/>
      <c r="N89" s="67"/>
      <c r="X89" s="69"/>
    </row>
    <row r="90" spans="1:24" x14ac:dyDescent="0.2">
      <c r="B90" s="67"/>
      <c r="F90" s="67"/>
      <c r="G90" s="68"/>
      <c r="N90" s="67"/>
      <c r="X90" s="69"/>
    </row>
    <row r="91" spans="1:24" x14ac:dyDescent="0.2">
      <c r="B91" s="67"/>
      <c r="F91" s="67">
        <f>24+9</f>
        <v>33</v>
      </c>
      <c r="G91" s="68"/>
      <c r="N91" s="67"/>
      <c r="X91" s="69"/>
    </row>
    <row r="92" spans="1:24" x14ac:dyDescent="0.2">
      <c r="B92" s="67"/>
      <c r="F92" s="67"/>
      <c r="G92" s="68"/>
      <c r="M92" s="69"/>
      <c r="X92" s="69"/>
    </row>
    <row r="93" spans="1:24" x14ac:dyDescent="0.2">
      <c r="B93" s="67"/>
      <c r="C93" s="67"/>
      <c r="M93" s="69"/>
    </row>
    <row r="94" spans="1:24" x14ac:dyDescent="0.2">
      <c r="B94" s="67"/>
      <c r="C94" s="67"/>
      <c r="M94" s="69"/>
    </row>
    <row r="95" spans="1:24" x14ac:dyDescent="0.2">
      <c r="B95" s="67"/>
      <c r="M95" s="69"/>
    </row>
    <row r="96" spans="1:24" x14ac:dyDescent="0.2">
      <c r="M96" s="69"/>
    </row>
    <row r="97" spans="13:13" x14ac:dyDescent="0.2">
      <c r="M97" s="69"/>
    </row>
    <row r="98" spans="13:13" x14ac:dyDescent="0.2">
      <c r="M98" s="69"/>
    </row>
    <row r="99" spans="13:13" x14ac:dyDescent="0.2">
      <c r="M99" s="69"/>
    </row>
    <row r="100" spans="13:13" x14ac:dyDescent="0.2">
      <c r="M100" s="69"/>
    </row>
    <row r="101" spans="13:13" x14ac:dyDescent="0.2">
      <c r="M101" s="69"/>
    </row>
    <row r="102" spans="13:13" x14ac:dyDescent="0.2">
      <c r="M102" s="69"/>
    </row>
    <row r="103" spans="13:13" x14ac:dyDescent="0.2">
      <c r="M103" s="69"/>
    </row>
    <row r="104" spans="13:13" x14ac:dyDescent="0.2">
      <c r="M104" s="69"/>
    </row>
    <row r="105" spans="13:13" x14ac:dyDescent="0.2">
      <c r="M105" s="69"/>
    </row>
    <row r="106" spans="13:13" x14ac:dyDescent="0.2">
      <c r="M106" s="69"/>
    </row>
    <row r="107" spans="13:13" x14ac:dyDescent="0.2">
      <c r="M107" s="69"/>
    </row>
    <row r="108" spans="13:13" x14ac:dyDescent="0.2">
      <c r="M108" s="69"/>
    </row>
    <row r="109" spans="13:13" x14ac:dyDescent="0.2">
      <c r="M109" s="69"/>
    </row>
  </sheetData>
  <mergeCells count="26">
    <mergeCell ref="M63:M64"/>
    <mergeCell ref="L63:L64"/>
    <mergeCell ref="F63:F64"/>
    <mergeCell ref="K63:K64"/>
    <mergeCell ref="A1:J1"/>
    <mergeCell ref="A2:J2"/>
    <mergeCell ref="J63:J64"/>
    <mergeCell ref="I63:I64"/>
    <mergeCell ref="E63:E64"/>
    <mergeCell ref="B62:H62"/>
    <mergeCell ref="A3:J3"/>
    <mergeCell ref="F9:F10"/>
    <mergeCell ref="I62:O62"/>
    <mergeCell ref="B47:H47"/>
    <mergeCell ref="B48:B49"/>
    <mergeCell ref="D48:D49"/>
    <mergeCell ref="F48:F49"/>
    <mergeCell ref="B9:B10"/>
    <mergeCell ref="E9:E10"/>
    <mergeCell ref="C9:C10"/>
    <mergeCell ref="D9:D10"/>
    <mergeCell ref="C63:C64"/>
    <mergeCell ref="D63:D64"/>
    <mergeCell ref="B63:B64"/>
    <mergeCell ref="C48:C49"/>
    <mergeCell ref="E48:E49"/>
  </mergeCells>
  <phoneticPr fontId="3" type="noConversion"/>
  <pageMargins left="0.75" right="0.75" top="1" bottom="1" header="0.5" footer="0.5"/>
  <pageSetup scale="86" orientation="portrait" r:id="rId1"/>
  <headerFooter alignWithMargins="0">
    <oddHeader>&amp;RBatch - Prod.Tox - &amp;D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61C5-FFFF-44EA-A38F-CF518905C112}">
  <sheetPr codeName="Sheet15"/>
  <dimension ref="A1:O36"/>
  <sheetViews>
    <sheetView zoomScaleNormal="100" workbookViewId="0">
      <selection activeCell="C18" sqref="C18"/>
    </sheetView>
  </sheetViews>
  <sheetFormatPr defaultRowHeight="12.75" x14ac:dyDescent="0.2"/>
  <cols>
    <col min="1" max="1" width="10.140625" bestFit="1" customWidth="1"/>
    <col min="2" max="2" width="22.140625" customWidth="1"/>
    <col min="3" max="3" width="68.28515625" customWidth="1"/>
  </cols>
  <sheetData>
    <row r="1" spans="1:15" ht="20.25" x14ac:dyDescent="0.3">
      <c r="A1" s="598" t="s">
        <v>509</v>
      </c>
      <c r="B1" s="598"/>
      <c r="C1" s="598"/>
      <c r="D1" s="466"/>
      <c r="E1" s="466"/>
      <c r="F1" s="466"/>
      <c r="G1" s="466"/>
      <c r="H1" s="466"/>
      <c r="I1" s="466"/>
      <c r="J1" s="466"/>
      <c r="K1" s="466"/>
      <c r="L1" s="466"/>
      <c r="M1" s="466"/>
      <c r="N1" s="466"/>
      <c r="O1" s="466"/>
    </row>
    <row r="3" spans="1:15" ht="13.5" thickBot="1" x14ac:dyDescent="0.25">
      <c r="A3" s="1" t="s">
        <v>510</v>
      </c>
    </row>
    <row r="4" spans="1:15" ht="14.25" thickTop="1" thickBot="1" x14ac:dyDescent="0.25">
      <c r="A4" s="483" t="s">
        <v>511</v>
      </c>
      <c r="B4" s="484" t="s">
        <v>512</v>
      </c>
      <c r="C4" s="485" t="s">
        <v>513</v>
      </c>
    </row>
    <row r="5" spans="1:15" x14ac:dyDescent="0.2">
      <c r="A5" s="671">
        <v>40680</v>
      </c>
      <c r="B5" s="674" t="s">
        <v>514</v>
      </c>
      <c r="C5" s="486" t="s">
        <v>518</v>
      </c>
    </row>
    <row r="6" spans="1:15" x14ac:dyDescent="0.2">
      <c r="A6" s="672"/>
      <c r="B6" s="675"/>
      <c r="C6" s="486" t="s">
        <v>519</v>
      </c>
    </row>
    <row r="7" spans="1:15" x14ac:dyDescent="0.2">
      <c r="A7" s="672"/>
      <c r="B7" s="675"/>
      <c r="C7" s="486" t="s">
        <v>520</v>
      </c>
    </row>
    <row r="8" spans="1:15" x14ac:dyDescent="0.2">
      <c r="A8" s="672"/>
      <c r="B8" s="675"/>
      <c r="C8" s="486" t="s">
        <v>521</v>
      </c>
    </row>
    <row r="9" spans="1:15" x14ac:dyDescent="0.2">
      <c r="A9" s="672"/>
      <c r="B9" s="675"/>
      <c r="C9" s="486" t="s">
        <v>524</v>
      </c>
    </row>
    <row r="10" spans="1:15" x14ac:dyDescent="0.2">
      <c r="A10" s="672"/>
      <c r="B10" s="675"/>
      <c r="C10" s="487" t="s">
        <v>515</v>
      </c>
    </row>
    <row r="11" spans="1:15" x14ac:dyDescent="0.2">
      <c r="A11" s="672"/>
      <c r="B11" s="675"/>
      <c r="C11" s="487" t="s">
        <v>516</v>
      </c>
    </row>
    <row r="12" spans="1:15" x14ac:dyDescent="0.2">
      <c r="A12" s="673"/>
      <c r="B12" s="676"/>
      <c r="C12" s="487" t="s">
        <v>517</v>
      </c>
    </row>
    <row r="13" spans="1:15" x14ac:dyDescent="0.2">
      <c r="A13" s="592">
        <v>40785</v>
      </c>
      <c r="B13" s="478" t="s">
        <v>514</v>
      </c>
      <c r="C13" s="479" t="s">
        <v>581</v>
      </c>
    </row>
    <row r="14" spans="1:15" x14ac:dyDescent="0.2">
      <c r="A14" s="681">
        <v>40834</v>
      </c>
      <c r="B14" s="679" t="s">
        <v>514</v>
      </c>
      <c r="C14" s="677" t="s">
        <v>587</v>
      </c>
    </row>
    <row r="15" spans="1:15" x14ac:dyDescent="0.2">
      <c r="A15" s="682"/>
      <c r="B15" s="680"/>
      <c r="C15" s="678"/>
    </row>
    <row r="16" spans="1:15" ht="25.5" x14ac:dyDescent="0.2">
      <c r="A16" s="593">
        <v>40876</v>
      </c>
      <c r="B16" s="478" t="s">
        <v>592</v>
      </c>
      <c r="C16" s="594" t="s">
        <v>593</v>
      </c>
    </row>
    <row r="17" spans="1:3" x14ac:dyDescent="0.2">
      <c r="A17" s="477"/>
      <c r="B17" s="478"/>
      <c r="C17" s="479"/>
    </row>
    <row r="18" spans="1:3" x14ac:dyDescent="0.2">
      <c r="A18" s="477"/>
      <c r="B18" s="478"/>
      <c r="C18" s="479"/>
    </row>
    <row r="19" spans="1:3" x14ac:dyDescent="0.2">
      <c r="A19" s="477"/>
      <c r="B19" s="478"/>
      <c r="C19" s="479"/>
    </row>
    <row r="20" spans="1:3" x14ac:dyDescent="0.2">
      <c r="A20" s="477"/>
      <c r="B20" s="478"/>
      <c r="C20" s="479"/>
    </row>
    <row r="21" spans="1:3" x14ac:dyDescent="0.2">
      <c r="A21" s="477"/>
      <c r="B21" s="478"/>
      <c r="C21" s="479"/>
    </row>
    <row r="22" spans="1:3" x14ac:dyDescent="0.2">
      <c r="A22" s="477"/>
      <c r="B22" s="478"/>
      <c r="C22" s="479"/>
    </row>
    <row r="23" spans="1:3" x14ac:dyDescent="0.2">
      <c r="A23" s="477"/>
      <c r="B23" s="478"/>
      <c r="C23" s="479"/>
    </row>
    <row r="24" spans="1:3" x14ac:dyDescent="0.2">
      <c r="A24" s="477"/>
      <c r="B24" s="478"/>
      <c r="C24" s="479"/>
    </row>
    <row r="25" spans="1:3" x14ac:dyDescent="0.2">
      <c r="A25" s="477"/>
      <c r="B25" s="478"/>
      <c r="C25" s="479"/>
    </row>
    <row r="26" spans="1:3" x14ac:dyDescent="0.2">
      <c r="A26" s="477"/>
      <c r="B26" s="478"/>
      <c r="C26" s="479"/>
    </row>
    <row r="27" spans="1:3" x14ac:dyDescent="0.2">
      <c r="A27" s="477"/>
      <c r="B27" s="478"/>
      <c r="C27" s="479"/>
    </row>
    <row r="28" spans="1:3" x14ac:dyDescent="0.2">
      <c r="A28" s="477"/>
      <c r="B28" s="478"/>
      <c r="C28" s="479"/>
    </row>
    <row r="29" spans="1:3" x14ac:dyDescent="0.2">
      <c r="A29" s="477"/>
      <c r="B29" s="478"/>
      <c r="C29" s="479"/>
    </row>
    <row r="30" spans="1:3" x14ac:dyDescent="0.2">
      <c r="A30" s="477"/>
      <c r="B30" s="478"/>
      <c r="C30" s="479"/>
    </row>
    <row r="31" spans="1:3" x14ac:dyDescent="0.2">
      <c r="A31" s="477"/>
      <c r="B31" s="478"/>
      <c r="C31" s="479"/>
    </row>
    <row r="32" spans="1:3" x14ac:dyDescent="0.2">
      <c r="A32" s="477"/>
      <c r="B32" s="478"/>
      <c r="C32" s="479"/>
    </row>
    <row r="33" spans="1:3" x14ac:dyDescent="0.2">
      <c r="A33" s="477"/>
      <c r="B33" s="478"/>
      <c r="C33" s="479"/>
    </row>
    <row r="34" spans="1:3" x14ac:dyDescent="0.2">
      <c r="A34" s="477"/>
      <c r="B34" s="478"/>
      <c r="C34" s="479"/>
    </row>
    <row r="35" spans="1:3" ht="13.5" thickBot="1" x14ac:dyDescent="0.25">
      <c r="A35" s="480"/>
      <c r="B35" s="481"/>
      <c r="C35" s="482"/>
    </row>
    <row r="36" spans="1:3" ht="13.5" thickTop="1" x14ac:dyDescent="0.2"/>
  </sheetData>
  <mergeCells count="6">
    <mergeCell ref="A1:C1"/>
    <mergeCell ref="A5:A12"/>
    <mergeCell ref="B5:B12"/>
    <mergeCell ref="C14:C15"/>
    <mergeCell ref="B14:B15"/>
    <mergeCell ref="A14:A15"/>
  </mergeCells>
  <phoneticPr fontId="0" type="noConversion"/>
  <pageMargins left="0.7" right="0.7" top="0.75" bottom="0.75" header="0.3" footer="0.3"/>
  <pageSetup scale="92" orientation="portrait" horizontalDpi="1200" verticalDpi="1200" r:id="rId1"/>
  <headerFooter>
    <oddHeader>&amp;RRevisions - &amp;D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FC49-C4FB-41E4-B29D-0AF35D34CE11}">
  <sheetPr codeName="Sheet12">
    <tabColor indexed="12"/>
  </sheetPr>
  <dimension ref="A1:L74"/>
  <sheetViews>
    <sheetView zoomScaleNormal="100" workbookViewId="0">
      <selection activeCell="A2" sqref="A2:I2"/>
    </sheetView>
  </sheetViews>
  <sheetFormatPr defaultRowHeight="12.75" x14ac:dyDescent="0.2"/>
  <cols>
    <col min="1" max="1" width="17.5703125" bestFit="1" customWidth="1"/>
    <col min="2" max="2" width="10.28515625" bestFit="1" customWidth="1"/>
    <col min="3" max="3" width="11.7109375" customWidth="1"/>
    <col min="4" max="4" width="11.42578125" customWidth="1"/>
    <col min="5" max="5" width="12" customWidth="1"/>
    <col min="6" max="6" width="10.42578125" customWidth="1"/>
    <col min="10" max="10" width="10.5703125" bestFit="1" customWidth="1"/>
    <col min="11" max="13" width="9.28515625" customWidth="1"/>
  </cols>
  <sheetData>
    <row r="1" spans="1:12" ht="20.25" x14ac:dyDescent="0.3">
      <c r="A1" s="598" t="s">
        <v>509</v>
      </c>
      <c r="B1" s="598"/>
      <c r="C1" s="598"/>
      <c r="D1" s="598"/>
      <c r="E1" s="598"/>
      <c r="F1" s="598"/>
      <c r="G1" s="598"/>
      <c r="H1" s="598"/>
      <c r="I1" s="598"/>
      <c r="J1" s="466"/>
      <c r="K1" s="466"/>
      <c r="L1" s="466"/>
    </row>
    <row r="2" spans="1:12" x14ac:dyDescent="0.2">
      <c r="A2" s="599">
        <v>40876</v>
      </c>
      <c r="B2" s="599"/>
      <c r="C2" s="599"/>
      <c r="D2" s="599"/>
      <c r="E2" s="599"/>
      <c r="F2" s="599"/>
      <c r="G2" s="599"/>
      <c r="H2" s="599"/>
      <c r="I2" s="599"/>
      <c r="J2" s="467"/>
      <c r="K2" s="467"/>
      <c r="L2" s="467"/>
    </row>
    <row r="3" spans="1:12" ht="51.75" customHeight="1" x14ac:dyDescent="0.2">
      <c r="A3" s="606" t="s">
        <v>522</v>
      </c>
      <c r="B3" s="606"/>
      <c r="C3" s="606"/>
      <c r="D3" s="606"/>
      <c r="E3" s="606"/>
      <c r="F3" s="606"/>
      <c r="G3" s="606"/>
      <c r="H3" s="606"/>
      <c r="I3" s="606"/>
      <c r="J3" s="467"/>
      <c r="K3" s="467"/>
      <c r="L3" s="467"/>
    </row>
    <row r="5" spans="1:12" x14ac:dyDescent="0.2">
      <c r="A5" s="291" t="s">
        <v>435</v>
      </c>
    </row>
    <row r="8" spans="1:12" x14ac:dyDescent="0.2">
      <c r="C8" s="350" t="s">
        <v>477</v>
      </c>
      <c r="D8" s="225">
        <f>ROUNDDOWN(((((100-'Output - Criteria'!D69)*2000/('Output - Criteria'!C37+'Output - Criteria'!C48))*Inputs!D16)/1000000),5)*1000000</f>
        <v>1497920</v>
      </c>
      <c r="E8" s="181" t="s">
        <v>380</v>
      </c>
    </row>
    <row r="9" spans="1:12" ht="13.5" thickBot="1" x14ac:dyDescent="0.25"/>
    <row r="10" spans="1:12" ht="13.5" thickTop="1" x14ac:dyDescent="0.2">
      <c r="A10" s="145" t="s">
        <v>466</v>
      </c>
      <c r="B10" s="604" t="s">
        <v>4</v>
      </c>
      <c r="C10" s="601" t="s">
        <v>16</v>
      </c>
      <c r="D10" s="603"/>
      <c r="E10" s="601" t="s">
        <v>17</v>
      </c>
      <c r="F10" s="602"/>
    </row>
    <row r="11" spans="1:12" ht="13.5" thickBot="1" x14ac:dyDescent="0.25">
      <c r="B11" s="605"/>
      <c r="C11" s="8" t="s">
        <v>9</v>
      </c>
      <c r="D11" s="22" t="s">
        <v>10</v>
      </c>
      <c r="E11" s="8" t="s">
        <v>9</v>
      </c>
      <c r="F11" s="10" t="s">
        <v>10</v>
      </c>
    </row>
    <row r="12" spans="1:12" x14ac:dyDescent="0.2">
      <c r="B12" s="292" t="s">
        <v>1</v>
      </c>
      <c r="C12" s="362">
        <f>C32+C46+C52+C64+C58</f>
        <v>11258.884867610994</v>
      </c>
      <c r="D12" s="356">
        <f>D32+D46+D52+D64+D58</f>
        <v>49111.559720136152</v>
      </c>
      <c r="E12" s="362">
        <f>E32+E46+E52+E58</f>
        <v>17.583010468135942</v>
      </c>
      <c r="F12" s="357">
        <f>F32+F46+F52+F58</f>
        <v>33.197786684225683</v>
      </c>
    </row>
    <row r="13" spans="1:12" x14ac:dyDescent="0.2">
      <c r="B13" s="293" t="s">
        <v>2</v>
      </c>
      <c r="C13" s="363">
        <f>C33+C65+C53+C59</f>
        <v>2656.3960421394158</v>
      </c>
      <c r="D13" s="358">
        <f>D33+D65+D53+D59</f>
        <v>11432.658664570641</v>
      </c>
      <c r="E13" s="363">
        <f>E33+C65+E53+E59</f>
        <v>11.146042139415709</v>
      </c>
      <c r="F13" s="359">
        <f>F33+D65+F53+F59</f>
        <v>20.668788083685946</v>
      </c>
    </row>
    <row r="14" spans="1:12" x14ac:dyDescent="0.2">
      <c r="B14" s="293" t="s">
        <v>412</v>
      </c>
      <c r="C14" s="363">
        <f>C34+C66+C54+C60</f>
        <v>655.16813668465761</v>
      </c>
      <c r="D14" s="358">
        <f>D34+D66+D54+D60</f>
        <v>2667.2804386788002</v>
      </c>
      <c r="E14" s="363">
        <f>E34+C66+E54+E60</f>
        <v>1.8781366846576213</v>
      </c>
      <c r="F14" s="359">
        <f>F34+D66+F54+F60</f>
        <v>2.7355072826386437</v>
      </c>
    </row>
    <row r="15" spans="1:12" x14ac:dyDescent="0.2">
      <c r="B15" s="293" t="s">
        <v>13</v>
      </c>
      <c r="C15" s="363">
        <f>C35+C67</f>
        <v>24.315714285714289</v>
      </c>
      <c r="D15" s="358">
        <f>D35+D67</f>
        <v>106.50282857142858</v>
      </c>
      <c r="E15" s="363">
        <f>E35+C67</f>
        <v>24.315714285714289</v>
      </c>
      <c r="F15" s="359">
        <f>F35+D67</f>
        <v>48.326508571428583</v>
      </c>
    </row>
    <row r="16" spans="1:12" x14ac:dyDescent="0.2">
      <c r="B16" s="293" t="s">
        <v>14</v>
      </c>
      <c r="C16" s="363">
        <f>C36+C68</f>
        <v>22.314285714285713</v>
      </c>
      <c r="D16" s="358">
        <f>D36+D68</f>
        <v>97.736571428571423</v>
      </c>
      <c r="E16" s="363">
        <f>E36+C68</f>
        <v>22.314285714285713</v>
      </c>
      <c r="F16" s="359">
        <f>F36+D68</f>
        <v>42.569371428571436</v>
      </c>
    </row>
    <row r="17" spans="1:10" x14ac:dyDescent="0.2">
      <c r="B17" s="293" t="s">
        <v>3</v>
      </c>
      <c r="C17" s="363">
        <f>C37+C48+C69</f>
        <v>53.164545262054389</v>
      </c>
      <c r="D17" s="358">
        <f>D37+D48+D69</f>
        <v>232.86070824779821</v>
      </c>
      <c r="E17" s="363">
        <f>E37+E48+C69</f>
        <v>53.164545262054389</v>
      </c>
      <c r="F17" s="359">
        <f>F37+F48+D69</f>
        <v>99.999612666317702</v>
      </c>
      <c r="H17" s="355"/>
    </row>
    <row r="18" spans="1:10" x14ac:dyDescent="0.2">
      <c r="B18" s="293" t="s">
        <v>15</v>
      </c>
      <c r="C18" s="363">
        <f>C38+C47+C70</f>
        <v>19.250301421461131</v>
      </c>
      <c r="D18" s="358">
        <f>D38+D47+D70</f>
        <v>84.31632022599976</v>
      </c>
      <c r="E18" s="363">
        <f>E38+E47+C70</f>
        <v>19.250301421461131</v>
      </c>
      <c r="F18" s="359">
        <f>F38+F47+D70</f>
        <v>36.074011401151665</v>
      </c>
    </row>
    <row r="19" spans="1:10" ht="13.5" thickBot="1" x14ac:dyDescent="0.25">
      <c r="B19" s="294" t="s">
        <v>158</v>
      </c>
      <c r="C19" s="364">
        <f>C39</f>
        <v>6.0000000000000001E-3</v>
      </c>
      <c r="D19" s="360">
        <f>D39</f>
        <v>2.6280000000000001E-2</v>
      </c>
      <c r="E19" s="364">
        <f>E39</f>
        <v>6.0000000000000001E-3</v>
      </c>
      <c r="F19" s="361">
        <f>F39</f>
        <v>1.12344E-2</v>
      </c>
      <c r="H19" s="65"/>
      <c r="J19" s="207"/>
    </row>
    <row r="20" spans="1:10" ht="14.25" thickTop="1" thickBot="1" x14ac:dyDescent="0.25">
      <c r="B20" s="181"/>
      <c r="C20" s="410"/>
      <c r="D20" s="411"/>
      <c r="E20" s="410"/>
      <c r="F20" s="411"/>
      <c r="J20" s="207"/>
    </row>
    <row r="21" spans="1:10" ht="13.5" thickTop="1" x14ac:dyDescent="0.2">
      <c r="A21" s="145" t="s">
        <v>491</v>
      </c>
      <c r="B21" s="604" t="s">
        <v>4</v>
      </c>
      <c r="C21" s="601" t="s">
        <v>16</v>
      </c>
      <c r="D21" s="603"/>
      <c r="E21" s="601" t="s">
        <v>17</v>
      </c>
      <c r="F21" s="602"/>
      <c r="J21" s="207"/>
    </row>
    <row r="22" spans="1:10" ht="13.5" thickBot="1" x14ac:dyDescent="0.25">
      <c r="A22" s="65"/>
      <c r="B22" s="605"/>
      <c r="C22" s="8" t="s">
        <v>9</v>
      </c>
      <c r="D22" s="22" t="s">
        <v>10</v>
      </c>
      <c r="E22" s="8" t="s">
        <v>9</v>
      </c>
      <c r="F22" s="10" t="s">
        <v>10</v>
      </c>
      <c r="G22" s="1" t="s">
        <v>478</v>
      </c>
      <c r="J22" s="207"/>
    </row>
    <row r="23" spans="1:10" x14ac:dyDescent="0.2">
      <c r="A23" s="65"/>
      <c r="B23" s="414" t="s">
        <v>472</v>
      </c>
      <c r="C23" s="365">
        <f t="shared" ref="C23:D25" si="0">C40+C71</f>
        <v>12594.359129439999</v>
      </c>
      <c r="D23" s="358">
        <f t="shared" si="0"/>
        <v>55163.292986947199</v>
      </c>
      <c r="E23" s="365">
        <f t="shared" ref="E23:F25" si="1">E40+C71</f>
        <v>12594.359129439999</v>
      </c>
      <c r="F23" s="359">
        <f t="shared" si="1"/>
        <v>24481.199615347199</v>
      </c>
      <c r="G23">
        <v>1</v>
      </c>
      <c r="J23" s="207"/>
    </row>
    <row r="24" spans="1:10" x14ac:dyDescent="0.2">
      <c r="A24" s="65"/>
      <c r="B24" s="415" t="s">
        <v>473</v>
      </c>
      <c r="C24" s="363">
        <f t="shared" si="0"/>
        <v>0.51058999199999999</v>
      </c>
      <c r="D24" s="358">
        <f t="shared" si="0"/>
        <v>2.23638416496</v>
      </c>
      <c r="E24" s="363">
        <f t="shared" si="1"/>
        <v>0.51058999199999999</v>
      </c>
      <c r="F24" s="359">
        <f t="shared" si="1"/>
        <v>0.99251551475999999</v>
      </c>
      <c r="G24">
        <v>21</v>
      </c>
      <c r="J24" s="207"/>
    </row>
    <row r="25" spans="1:10" x14ac:dyDescent="0.2">
      <c r="B25" s="415" t="s">
        <v>474</v>
      </c>
      <c r="C25" s="363">
        <f t="shared" si="0"/>
        <v>0.10211799839999999</v>
      </c>
      <c r="D25" s="358">
        <f t="shared" si="0"/>
        <v>0.44727683299199994</v>
      </c>
      <c r="E25" s="363">
        <f t="shared" si="1"/>
        <v>0.10211799839999999</v>
      </c>
      <c r="F25" s="359">
        <f t="shared" si="1"/>
        <v>0.19850310295199999</v>
      </c>
      <c r="G25">
        <v>310</v>
      </c>
      <c r="J25" s="207"/>
    </row>
    <row r="26" spans="1:10" x14ac:dyDescent="0.2">
      <c r="B26" s="412" t="s">
        <v>492</v>
      </c>
      <c r="C26" s="365">
        <f>SUM(C23:C25)</f>
        <v>12594.971837430399</v>
      </c>
      <c r="D26" s="365">
        <f>SUM(D23:D25)</f>
        <v>55165.97664794515</v>
      </c>
      <c r="E26" s="365">
        <f>SUM(E23:E25)</f>
        <v>12594.971837430399</v>
      </c>
      <c r="F26" s="462">
        <f>SUM(F23:F25)</f>
        <v>24482.390633964911</v>
      </c>
      <c r="J26" s="207"/>
    </row>
    <row r="27" spans="1:10" ht="13.5" thickBot="1" x14ac:dyDescent="0.25">
      <c r="B27" s="413" t="s">
        <v>493</v>
      </c>
      <c r="C27" s="463">
        <f>C23*$G$23+C24*$G$24+C25*$G$25</f>
        <v>12636.738098776001</v>
      </c>
      <c r="D27" s="463">
        <f>D23*$G$23+D24*$G$24+D25*$G$25</f>
        <v>55348.912872638881</v>
      </c>
      <c r="E27" s="463">
        <f>E23*$G$23+E24*$G$24+E25*$G$25</f>
        <v>12636.738098776001</v>
      </c>
      <c r="F27" s="464">
        <f>F23*$G$23+F24*$G$24+F25*$G$25</f>
        <v>24563.578403072279</v>
      </c>
      <c r="J27" s="207"/>
    </row>
    <row r="28" spans="1:10" ht="14.25" thickTop="1" thickBot="1" x14ac:dyDescent="0.25"/>
    <row r="29" spans="1:10" ht="14.25" thickTop="1" thickBot="1" x14ac:dyDescent="0.25">
      <c r="A29" s="84"/>
      <c r="B29" s="84"/>
      <c r="C29" s="84"/>
      <c r="D29" s="84"/>
      <c r="E29" s="84"/>
      <c r="F29" s="84"/>
      <c r="G29" s="84"/>
      <c r="H29" s="84"/>
      <c r="I29" s="84"/>
    </row>
    <row r="30" spans="1:10" ht="13.5" thickTop="1" x14ac:dyDescent="0.2">
      <c r="A30" s="145" t="s">
        <v>436</v>
      </c>
      <c r="B30" s="604" t="s">
        <v>4</v>
      </c>
      <c r="C30" s="601" t="s">
        <v>16</v>
      </c>
      <c r="D30" s="603"/>
      <c r="E30" s="601" t="s">
        <v>17</v>
      </c>
      <c r="F30" s="602"/>
    </row>
    <row r="31" spans="1:10" ht="13.5" thickBot="1" x14ac:dyDescent="0.25">
      <c r="B31" s="605"/>
      <c r="C31" s="8" t="s">
        <v>9</v>
      </c>
      <c r="D31" s="22" t="s">
        <v>10</v>
      </c>
      <c r="E31" s="8" t="s">
        <v>9</v>
      </c>
      <c r="F31" s="10" t="s">
        <v>10</v>
      </c>
    </row>
    <row r="32" spans="1:10" x14ac:dyDescent="0.2">
      <c r="B32" s="292" t="s">
        <v>1</v>
      </c>
      <c r="C32" s="295">
        <f>IF(Inputs!$B$79=1,'Drum - Prod.Crit'!D12,IF(Inputs!$B$79=2,'Batch - Prod.Crit'!D12,"Error"))</f>
        <v>11200</v>
      </c>
      <c r="D32" s="298">
        <f>IF(Inputs!$B$79=1,'Drum - Prod.Crit'!E12,IF(Inputs!$B$79=2,'Batch - Prod.Crit'!E12,"Error"))</f>
        <v>49056</v>
      </c>
      <c r="E32" s="295">
        <f>IF(Inputs!$B$79=1,'Drum - Prod.Crit'!F12,IF(Inputs!$B$79=2,'Batch - Prod.Crit'!F12,"Error"))</f>
        <v>13.200000000000001</v>
      </c>
      <c r="F32" s="301">
        <f>IF(Inputs!$B$79=1,'Drum - Prod.Crit'!G12,IF(Inputs!$B$79=2,'Batch - Prod.Crit'!G12,"Error"))</f>
        <v>24.715680000000003</v>
      </c>
    </row>
    <row r="33" spans="1:8" x14ac:dyDescent="0.2">
      <c r="B33" s="293" t="s">
        <v>2</v>
      </c>
      <c r="C33" s="296">
        <f>IF(Inputs!$B$79=1,'Drum - Prod.Crit'!D13,IF(Inputs!$B$79=2,'Batch - Prod.Crit'!D13,"Error"))</f>
        <v>2600</v>
      </c>
      <c r="D33" s="299">
        <f>IF(Inputs!$B$79=1,'Drum - Prod.Crit'!E13,IF(Inputs!$B$79=2,'Batch - Prod.Crit'!E13,"Error"))</f>
        <v>11388</v>
      </c>
      <c r="E33" s="296">
        <f>IF(Inputs!$B$79=1,'Drum - Prod.Crit'!F13,IF(Inputs!$B$79=2,'Batch - Prod.Crit'!F13,"Error"))</f>
        <v>9.1999999999999993</v>
      </c>
      <c r="F33" s="302">
        <f>IF(Inputs!$B$79=1,'Drum - Prod.Crit'!G13,IF(Inputs!$B$79=2,'Batch - Prod.Crit'!G13,"Error"))</f>
        <v>17.22608</v>
      </c>
    </row>
    <row r="34" spans="1:8" x14ac:dyDescent="0.2">
      <c r="B34" s="293" t="s">
        <v>412</v>
      </c>
      <c r="C34" s="296">
        <f>IF(Inputs!$B$79=1,'Drum - Prod.Crit'!D14,IF(Inputs!$B$79=2,'Batch - Prod.Crit'!D14,"Error"))</f>
        <v>600</v>
      </c>
      <c r="D34" s="299">
        <f>IF(Inputs!$B$79=1,'Drum - Prod.Crit'!E14,IF(Inputs!$B$79=2,'Batch - Prod.Crit'!E14,"Error"))</f>
        <v>2628</v>
      </c>
      <c r="E34" s="296">
        <f>IF(Inputs!$B$79=1,'Drum - Prod.Crit'!F14,IF(Inputs!$B$79=2,'Batch - Prod.Crit'!F14,"Error"))</f>
        <v>1.1599999999999999</v>
      </c>
      <c r="F34" s="302">
        <f>IF(Inputs!$B$79=1,'Drum - Prod.Crit'!G14,IF(Inputs!$B$79=2,'Batch - Prod.Crit'!G14,"Error"))</f>
        <v>2.1719840000000001</v>
      </c>
      <c r="H34" s="189"/>
    </row>
    <row r="35" spans="1:8" x14ac:dyDescent="0.2">
      <c r="B35" s="293" t="s">
        <v>13</v>
      </c>
      <c r="C35" s="296">
        <f>IF(Inputs!$B$79=1,'Drum - Prod.Crit'!D15,IF(Inputs!$B$79=2,'Batch - Prod.Crit'!D15,"Error"))</f>
        <v>23.200000000000003</v>
      </c>
      <c r="D35" s="299">
        <f>IF(Inputs!$B$79=1,'Drum - Prod.Crit'!E15,IF(Inputs!$B$79=2,'Batch - Prod.Crit'!E15,"Error"))</f>
        <v>101.61600000000001</v>
      </c>
      <c r="E35" s="296">
        <f>IF(Inputs!$B$79=1,'Drum - Prod.Crit'!F15,IF(Inputs!$B$79=2,'Batch - Prod.Crit'!F15,"Error"))</f>
        <v>23.200000000000003</v>
      </c>
      <c r="F35" s="302">
        <f>IF(Inputs!$B$79=1,'Drum - Prod.Crit'!G15,IF(Inputs!$B$79=2,'Batch - Prod.Crit'!G15,"Error"))</f>
        <v>43.43968000000001</v>
      </c>
    </row>
    <row r="36" spans="1:8" x14ac:dyDescent="0.2">
      <c r="B36" s="293" t="s">
        <v>14</v>
      </c>
      <c r="C36" s="296">
        <f>IF(Inputs!$B$79=1,'Drum - Prod.Crit'!D16,IF(Inputs!$B$79=2,'Batch - Prod.Crit'!D16,"Error"))</f>
        <v>22</v>
      </c>
      <c r="D36" s="299">
        <f>IF(Inputs!$B$79=1,'Drum - Prod.Crit'!E16,IF(Inputs!$B$79=2,'Batch - Prod.Crit'!E16,"Error"))</f>
        <v>96.36</v>
      </c>
      <c r="E36" s="296">
        <f>IF(Inputs!$B$79=1,'Drum - Prod.Crit'!F16,IF(Inputs!$B$79=2,'Batch - Prod.Crit'!F16,"Error"))</f>
        <v>22</v>
      </c>
      <c r="F36" s="302">
        <f>IF(Inputs!$B$79=1,'Drum - Prod.Crit'!G16,IF(Inputs!$B$79=2,'Batch - Prod.Crit'!G16,"Error"))</f>
        <v>41.192800000000005</v>
      </c>
    </row>
    <row r="37" spans="1:8" x14ac:dyDescent="0.2">
      <c r="B37" s="293" t="s">
        <v>3</v>
      </c>
      <c r="C37" s="296">
        <f>IF(Inputs!$B$79=1,'Drum - Prod.Crit'!D17,IF(Inputs!$B$79=2,'Batch - Prod.Crit'!D17,"Error"))</f>
        <v>52</v>
      </c>
      <c r="D37" s="299">
        <f>IF(Inputs!$B$79=1,'Drum - Prod.Crit'!E17,IF(Inputs!$B$79=2,'Batch - Prod.Crit'!E17,"Error"))</f>
        <v>227.76</v>
      </c>
      <c r="E37" s="296">
        <f>IF(Inputs!$B$79=1,'Drum - Prod.Crit'!F17,IF(Inputs!$B$79=2,'Batch - Prod.Crit'!F17,"Error"))</f>
        <v>52</v>
      </c>
      <c r="F37" s="302">
        <f>IF(Inputs!$B$79=1,'Drum - Prod.Crit'!G17,IF(Inputs!$B$79=2,'Batch - Prod.Crit'!G17,"Error"))</f>
        <v>97.364800000000002</v>
      </c>
    </row>
    <row r="38" spans="1:8" x14ac:dyDescent="0.2">
      <c r="B38" s="293" t="s">
        <v>15</v>
      </c>
      <c r="C38" s="296">
        <f>IF(Inputs!$B$79=1,'Drum - Prod.Crit'!D18,IF(Inputs!$B$79=2,'Batch - Prod.Crit'!D18,"Error"))</f>
        <v>12.8</v>
      </c>
      <c r="D38" s="299">
        <f>IF(Inputs!$B$79=1,'Drum - Prod.Crit'!E18,IF(Inputs!$B$79=2,'Batch - Prod.Crit'!E18,"Error"))</f>
        <v>56.064</v>
      </c>
      <c r="E38" s="296">
        <f>IF(Inputs!$B$79=1,'Drum - Prod.Crit'!F18,IF(Inputs!$B$79=2,'Batch - Prod.Crit'!F18,"Error"))</f>
        <v>12.8</v>
      </c>
      <c r="F38" s="302">
        <f>IF(Inputs!$B$79=1,'Drum - Prod.Crit'!G18,IF(Inputs!$B$79=2,'Batch - Prod.Crit'!G18,"Error"))</f>
        <v>23.966720000000002</v>
      </c>
    </row>
    <row r="39" spans="1:8" x14ac:dyDescent="0.2">
      <c r="B39" s="293" t="s">
        <v>158</v>
      </c>
      <c r="C39" s="296">
        <f>IF(Inputs!$B$79=1,'Drum - Prod.Crit'!D19,IF(Inputs!$B$79=2,'Batch - Prod.Crit'!D19,"Error"))</f>
        <v>6.0000000000000001E-3</v>
      </c>
      <c r="D39" s="422">
        <f>IF(Inputs!$B$79=1,'Drum - Prod.Crit'!E19,IF(Inputs!$B$79=2,'Batch - Prod.Crit'!E19,"Error"))</f>
        <v>2.6280000000000001E-2</v>
      </c>
      <c r="E39" s="296">
        <f>IF(Inputs!$B$79=1,'Drum - Prod.Crit'!F19,IF(Inputs!$B$79=2,'Batch - Prod.Crit'!F19,"Error"))</f>
        <v>6.0000000000000001E-3</v>
      </c>
      <c r="F39" s="380">
        <f>IF(Inputs!$B$79=1,'Drum - Prod.Crit'!G19,IF(Inputs!$B$79=2,'Batch - Prod.Crit'!G19,"Error"))</f>
        <v>1.12344E-2</v>
      </c>
    </row>
    <row r="40" spans="1:8" x14ac:dyDescent="0.2">
      <c r="B40" s="412" t="s">
        <v>472</v>
      </c>
      <c r="C40" s="365">
        <f>GHG!D12</f>
        <v>12235.641</v>
      </c>
      <c r="D40" s="365">
        <f>GHG!E12</f>
        <v>53592.107579999996</v>
      </c>
      <c r="E40" s="365">
        <f>GHG!F12</f>
        <v>12235.641</v>
      </c>
      <c r="F40" s="462">
        <f>GHG!G12</f>
        <v>22910.0142084</v>
      </c>
    </row>
    <row r="41" spans="1:8" x14ac:dyDescent="0.2">
      <c r="B41" s="412" t="s">
        <v>473</v>
      </c>
      <c r="C41" s="363">
        <f>GHG!D13</f>
        <v>0.49603949999999997</v>
      </c>
      <c r="D41" s="363">
        <f>GHG!E13</f>
        <v>2.1726530099999999</v>
      </c>
      <c r="E41" s="363">
        <f>GHG!F13</f>
        <v>0.49603949999999997</v>
      </c>
      <c r="F41" s="460">
        <f>GHG!G13</f>
        <v>0.92878435979999996</v>
      </c>
    </row>
    <row r="42" spans="1:8" ht="13.5" thickBot="1" x14ac:dyDescent="0.25">
      <c r="B42" s="413" t="s">
        <v>474</v>
      </c>
      <c r="C42" s="364">
        <f>GHG!D14</f>
        <v>9.9207899999999988E-2</v>
      </c>
      <c r="D42" s="364">
        <f>GHG!E14</f>
        <v>0.43453060199999993</v>
      </c>
      <c r="E42" s="364">
        <f>GHG!F14</f>
        <v>9.9207899999999988E-2</v>
      </c>
      <c r="F42" s="461">
        <f>GHG!G14</f>
        <v>0.18575687195999999</v>
      </c>
    </row>
    <row r="43" spans="1:8" ht="14.25" thickTop="1" thickBot="1" x14ac:dyDescent="0.25"/>
    <row r="44" spans="1:8" ht="13.5" thickTop="1" x14ac:dyDescent="0.2">
      <c r="A44" s="145" t="s">
        <v>438</v>
      </c>
      <c r="B44" s="604" t="s">
        <v>4</v>
      </c>
      <c r="C44" s="601" t="s">
        <v>16</v>
      </c>
      <c r="D44" s="603"/>
      <c r="E44" s="601" t="s">
        <v>17</v>
      </c>
      <c r="F44" s="602"/>
    </row>
    <row r="45" spans="1:8" ht="13.5" thickBot="1" x14ac:dyDescent="0.25">
      <c r="B45" s="605"/>
      <c r="C45" s="8" t="s">
        <v>9</v>
      </c>
      <c r="D45" s="22" t="s">
        <v>10</v>
      </c>
      <c r="E45" s="8" t="s">
        <v>9</v>
      </c>
      <c r="F45" s="10" t="s">
        <v>10</v>
      </c>
    </row>
    <row r="46" spans="1:8" x14ac:dyDescent="0.2">
      <c r="B46" s="292" t="s">
        <v>1</v>
      </c>
      <c r="C46" s="295">
        <f>LOSL.Crit!D14</f>
        <v>0.44313052433381206</v>
      </c>
      <c r="D46" s="298">
        <f>LOSL.Crit!E14</f>
        <v>1.9409116965820969</v>
      </c>
      <c r="E46" s="295">
        <f>LOSL.Crit!F14</f>
        <v>0.44313052433381206</v>
      </c>
      <c r="F46" s="301">
        <f>LOSL.Crit!G14</f>
        <v>0.82971759376262977</v>
      </c>
    </row>
    <row r="47" spans="1:8" x14ac:dyDescent="0.2">
      <c r="B47" s="293" t="s">
        <v>15</v>
      </c>
      <c r="C47" s="296">
        <f>LOSL.Crit!D15</f>
        <v>6.4384386763630914</v>
      </c>
      <c r="D47" s="299">
        <f>LOSL.Crit!E15</f>
        <v>28.200361402470339</v>
      </c>
      <c r="E47" s="296">
        <f>LOSL.Crit!F15</f>
        <v>6.4384386763630914</v>
      </c>
      <c r="F47" s="302">
        <f>LOSL.Crit!G15</f>
        <v>12.055332577622254</v>
      </c>
    </row>
    <row r="48" spans="1:8" ht="13.5" thickBot="1" x14ac:dyDescent="0.25">
      <c r="B48" s="294" t="s">
        <v>3</v>
      </c>
      <c r="C48" s="297">
        <f>LOSL.Crit!D16</f>
        <v>0.98336879146615219</v>
      </c>
      <c r="D48" s="300">
        <f>LOSL.Crit!E16</f>
        <v>4.3071553066217465</v>
      </c>
      <c r="E48" s="297">
        <f>LOSL.Crit!F16</f>
        <v>0.98336879146615219</v>
      </c>
      <c r="F48" s="303">
        <f>LOSL.Crit!G16</f>
        <v>1.8412597251412235</v>
      </c>
    </row>
    <row r="49" spans="1:7" ht="14.25" thickTop="1" thickBot="1" x14ac:dyDescent="0.25"/>
    <row r="50" spans="1:7" ht="13.5" thickTop="1" x14ac:dyDescent="0.2">
      <c r="A50" s="145" t="s">
        <v>437</v>
      </c>
      <c r="B50" s="604" t="s">
        <v>4</v>
      </c>
      <c r="C50" s="601" t="s">
        <v>16</v>
      </c>
      <c r="D50" s="603"/>
      <c r="E50" s="601" t="s">
        <v>17</v>
      </c>
      <c r="F50" s="602"/>
    </row>
    <row r="51" spans="1:7" ht="13.5" thickBot="1" x14ac:dyDescent="0.25">
      <c r="B51" s="605"/>
      <c r="C51" s="8" t="s">
        <v>9</v>
      </c>
      <c r="D51" s="22" t="s">
        <v>10</v>
      </c>
      <c r="E51" s="8" t="s">
        <v>9</v>
      </c>
      <c r="F51" s="10" t="s">
        <v>10</v>
      </c>
    </row>
    <row r="52" spans="1:7" x14ac:dyDescent="0.2">
      <c r="B52" s="381" t="s">
        <v>1</v>
      </c>
      <c r="C52" s="387">
        <f>'Lime Silo'!D14</f>
        <v>55.000000000000007</v>
      </c>
      <c r="D52" s="388">
        <f>'Lime Silo'!E14</f>
        <v>38.543999999999997</v>
      </c>
      <c r="E52" s="384">
        <f>'Lime Silo'!F14</f>
        <v>0.5500000000000006</v>
      </c>
      <c r="F52" s="379">
        <f>'Lime Silo'!G14</f>
        <v>0.16477120000000017</v>
      </c>
    </row>
    <row r="53" spans="1:7" x14ac:dyDescent="0.2">
      <c r="B53" s="382" t="s">
        <v>2</v>
      </c>
      <c r="C53" s="168">
        <f>'Lime Silo'!D15</f>
        <v>55.000000000000007</v>
      </c>
      <c r="D53" s="389">
        <f>'Lime Silo'!E15</f>
        <v>38.543999999999997</v>
      </c>
      <c r="E53" s="385">
        <f>'Lime Silo'!F15</f>
        <v>0.5500000000000006</v>
      </c>
      <c r="F53" s="380">
        <f>'Lime Silo'!G15</f>
        <v>0.16477120000000017</v>
      </c>
      <c r="G53" s="65" t="s">
        <v>489</v>
      </c>
    </row>
    <row r="54" spans="1:7" ht="13.5" thickBot="1" x14ac:dyDescent="0.25">
      <c r="B54" s="383" t="s">
        <v>412</v>
      </c>
      <c r="C54" s="390">
        <f>'Lime Silo'!D16</f>
        <v>55.000000000000007</v>
      </c>
      <c r="D54" s="391">
        <f>'Lime Silo'!E16</f>
        <v>38.543999999999997</v>
      </c>
      <c r="E54" s="386">
        <f>'Lime Silo'!F16</f>
        <v>0.5500000000000006</v>
      </c>
      <c r="F54" s="304">
        <f>'Lime Silo'!G16</f>
        <v>0.16477120000000017</v>
      </c>
      <c r="G54" s="65" t="s">
        <v>489</v>
      </c>
    </row>
    <row r="55" spans="1:7" ht="14.25" thickTop="1" thickBot="1" x14ac:dyDescent="0.25">
      <c r="B55" s="181"/>
      <c r="C55" s="532"/>
      <c r="D55" s="533"/>
      <c r="E55" s="532"/>
      <c r="F55" s="534"/>
      <c r="G55" s="65"/>
    </row>
    <row r="56" spans="1:7" ht="13.5" thickTop="1" x14ac:dyDescent="0.2">
      <c r="A56" s="145" t="s">
        <v>530</v>
      </c>
      <c r="B56" s="604" t="s">
        <v>4</v>
      </c>
      <c r="C56" s="601" t="s">
        <v>16</v>
      </c>
      <c r="D56" s="603"/>
      <c r="E56" s="601" t="s">
        <v>17</v>
      </c>
      <c r="F56" s="602"/>
      <c r="G56" s="65"/>
    </row>
    <row r="57" spans="1:7" ht="13.5" thickBot="1" x14ac:dyDescent="0.25">
      <c r="B57" s="605"/>
      <c r="C57" s="8" t="s">
        <v>9</v>
      </c>
      <c r="D57" s="22" t="s">
        <v>10</v>
      </c>
      <c r="E57" s="8" t="s">
        <v>9</v>
      </c>
      <c r="F57" s="10" t="s">
        <v>10</v>
      </c>
      <c r="G57" s="65"/>
    </row>
    <row r="58" spans="1:7" x14ac:dyDescent="0.2">
      <c r="B58" s="381" t="s">
        <v>1</v>
      </c>
      <c r="C58" s="535">
        <f>SUM(Aggregates!D25,Aggregates!D28,Aggregates!D31,Aggregates!D34,Aggregates!D37)</f>
        <v>3.3898799438021281</v>
      </c>
      <c r="D58" s="518">
        <f>SUM(Aggregates!E25,Aggregates!E28,Aggregates!E31,Aggregates!E34,Aggregates!E37)</f>
        <v>14.847674153853319</v>
      </c>
      <c r="E58" s="536">
        <f>SUM(Aggregates!F25,Aggregates!F28,Aggregates!F31,Aggregates!F34,Aggregates!F37)</f>
        <v>3.3898799438021281</v>
      </c>
      <c r="F58" s="537">
        <f>SUM(Aggregates!G25,Aggregates!G28,Aggregates!G31,Aggregates!G34,Aggregates!G37)</f>
        <v>7.4876178904630484</v>
      </c>
      <c r="G58" s="65"/>
    </row>
    <row r="59" spans="1:7" x14ac:dyDescent="0.2">
      <c r="B59" s="382" t="s">
        <v>2</v>
      </c>
      <c r="C59" s="538">
        <f>SUM(Aggregates!D26,Aggregates!D29,Aggregates!D32,Aggregates!D35,Aggregates!D38)</f>
        <v>1.3586421394157084</v>
      </c>
      <c r="D59" s="539">
        <f>SUM(Aggregates!E26,Aggregates!E29,Aggregates!E32,Aggregates!E35,Aggregates!E38)</f>
        <v>5.9508525706408015</v>
      </c>
      <c r="E59" s="540">
        <f>SUM(Aggregates!F26,Aggregates!F29,Aggregates!F32,Aggregates!F35,Aggregates!F38)</f>
        <v>1.3586421394157084</v>
      </c>
      <c r="F59" s="541">
        <f>SUM(Aggregates!G26,Aggregates!G29,Aggregates!G32,Aggregates!G35,Aggregates!G38)</f>
        <v>3.1141248836859443</v>
      </c>
      <c r="G59" s="65"/>
    </row>
    <row r="60" spans="1:7" ht="13.5" thickBot="1" x14ac:dyDescent="0.25">
      <c r="B60" s="383" t="s">
        <v>412</v>
      </c>
      <c r="C60" s="542">
        <f>SUM(Aggregates!D27,Aggregates!D30,Aggregates!D33,Aggregates!D36,Aggregates!D39)</f>
        <v>0.13466525608619229</v>
      </c>
      <c r="D60" s="519">
        <f>SUM(Aggregates!E27,Aggregates!E30,Aggregates!E33,Aggregates!E36,Aggregates!E39)</f>
        <v>0.58983382165752218</v>
      </c>
      <c r="E60" s="543">
        <f>SUM(Aggregates!F27,Aggregates!F30,Aggregates!F33,Aggregates!F36,Aggregates!F39)</f>
        <v>0.13466525608619229</v>
      </c>
      <c r="F60" s="544">
        <f>SUM(Aggregates!G27,Aggregates!G30,Aggregates!G33,Aggregates!G36,Aggregates!G39)</f>
        <v>0.25214722549578639</v>
      </c>
      <c r="G60" s="65"/>
    </row>
    <row r="61" spans="1:7" ht="14.25" thickTop="1" thickBot="1" x14ac:dyDescent="0.25"/>
    <row r="62" spans="1:7" ht="13.5" thickTop="1" x14ac:dyDescent="0.2">
      <c r="A62" s="145" t="s">
        <v>465</v>
      </c>
      <c r="B62" s="604" t="s">
        <v>4</v>
      </c>
      <c r="C62" s="601" t="s">
        <v>357</v>
      </c>
      <c r="D62" s="603"/>
      <c r="E62" s="601" t="s">
        <v>17</v>
      </c>
      <c r="F62" s="602"/>
    </row>
    <row r="63" spans="1:7" ht="13.5" thickBot="1" x14ac:dyDescent="0.25">
      <c r="B63" s="605"/>
      <c r="C63" s="8" t="s">
        <v>9</v>
      </c>
      <c r="D63" s="9" t="s">
        <v>10</v>
      </c>
      <c r="E63" s="8" t="s">
        <v>9</v>
      </c>
      <c r="F63" s="10" t="s">
        <v>10</v>
      </c>
    </row>
    <row r="64" spans="1:7" x14ac:dyDescent="0.2">
      <c r="B64" s="11" t="s">
        <v>1</v>
      </c>
      <c r="C64" s="326">
        <f>'Hot Oil Heater'!E11</f>
        <v>5.1857142857142859E-2</v>
      </c>
      <c r="D64" s="327">
        <f>'Hot Oil Heater'!F11</f>
        <v>0.22713428571428571</v>
      </c>
      <c r="E64" s="61" t="s">
        <v>35</v>
      </c>
      <c r="F64" s="62" t="s">
        <v>35</v>
      </c>
    </row>
    <row r="65" spans="2:6" x14ac:dyDescent="0.2">
      <c r="B65" s="15" t="s">
        <v>2</v>
      </c>
      <c r="C65" s="328">
        <f>'Hot Oil Heater'!E12</f>
        <v>3.7400000000000003E-2</v>
      </c>
      <c r="D65" s="329">
        <f>'Hot Oil Heater'!F12</f>
        <v>0.16381200000000001</v>
      </c>
      <c r="E65" s="29" t="s">
        <v>35</v>
      </c>
      <c r="F65" s="42" t="s">
        <v>35</v>
      </c>
    </row>
    <row r="66" spans="2:6" x14ac:dyDescent="0.2">
      <c r="B66" s="15" t="s">
        <v>412</v>
      </c>
      <c r="C66" s="328">
        <f>'Hot Oil Heater'!E13</f>
        <v>3.3471428571428569E-2</v>
      </c>
      <c r="D66" s="329">
        <f>'Hot Oil Heater'!F13</f>
        <v>0.14660485714285712</v>
      </c>
      <c r="E66" s="321" t="s">
        <v>35</v>
      </c>
      <c r="F66" s="322" t="s">
        <v>35</v>
      </c>
    </row>
    <row r="67" spans="2:6" x14ac:dyDescent="0.2">
      <c r="B67" s="15" t="s">
        <v>13</v>
      </c>
      <c r="C67" s="328">
        <f>'Hot Oil Heater'!E14</f>
        <v>1.1157142857142859</v>
      </c>
      <c r="D67" s="329">
        <f>'Hot Oil Heater'!F14</f>
        <v>4.8868285714285724</v>
      </c>
      <c r="E67" s="29" t="s">
        <v>35</v>
      </c>
      <c r="F67" s="42" t="s">
        <v>35</v>
      </c>
    </row>
    <row r="68" spans="2:6" x14ac:dyDescent="0.2">
      <c r="B68" s="15" t="s">
        <v>14</v>
      </c>
      <c r="C68" s="328">
        <f>'Hot Oil Heater'!E15</f>
        <v>0.31428571428571428</v>
      </c>
      <c r="D68" s="329">
        <f>'Hot Oil Heater'!F15</f>
        <v>1.3765714285714283</v>
      </c>
      <c r="E68" s="29" t="s">
        <v>35</v>
      </c>
      <c r="F68" s="42" t="s">
        <v>35</v>
      </c>
    </row>
    <row r="69" spans="2:6" x14ac:dyDescent="0.2">
      <c r="B69" s="15" t="s">
        <v>3</v>
      </c>
      <c r="C69" s="328">
        <f>'Hot Oil Heater'!E16</f>
        <v>0.1811764705882353</v>
      </c>
      <c r="D69" s="329">
        <f>'Hot Oil Heater'!F16</f>
        <v>0.79355294117647068</v>
      </c>
      <c r="E69" s="29" t="s">
        <v>35</v>
      </c>
      <c r="F69" s="42" t="s">
        <v>35</v>
      </c>
    </row>
    <row r="70" spans="2:6" x14ac:dyDescent="0.2">
      <c r="B70" s="15" t="s">
        <v>15</v>
      </c>
      <c r="C70" s="328">
        <f>'Hot Oil Heater'!E17</f>
        <v>1.1862745098039217E-2</v>
      </c>
      <c r="D70" s="329">
        <f>'Hot Oil Heater'!F17</f>
        <v>5.1958823529411766E-2</v>
      </c>
      <c r="E70" s="29" t="s">
        <v>35</v>
      </c>
      <c r="F70" s="42" t="s">
        <v>35</v>
      </c>
    </row>
    <row r="71" spans="2:6" x14ac:dyDescent="0.2">
      <c r="B71" s="152" t="s">
        <v>472</v>
      </c>
      <c r="C71" s="453">
        <f>GHG!D18</f>
        <v>358.71812943999993</v>
      </c>
      <c r="D71" s="453">
        <f>GHG!E18</f>
        <v>1571.1854069471997</v>
      </c>
      <c r="E71" s="454" t="s">
        <v>35</v>
      </c>
      <c r="F71" s="456" t="s">
        <v>35</v>
      </c>
    </row>
    <row r="72" spans="2:6" x14ac:dyDescent="0.2">
      <c r="B72" s="152" t="s">
        <v>473</v>
      </c>
      <c r="C72" s="458">
        <f>GHG!D19</f>
        <v>1.4550492E-2</v>
      </c>
      <c r="D72" s="458">
        <f>GHG!E19</f>
        <v>6.3731154959999994E-2</v>
      </c>
      <c r="E72" s="454" t="s">
        <v>35</v>
      </c>
      <c r="F72" s="456" t="s">
        <v>35</v>
      </c>
    </row>
    <row r="73" spans="2:6" ht="13.5" thickBot="1" x14ac:dyDescent="0.25">
      <c r="B73" s="416" t="s">
        <v>474</v>
      </c>
      <c r="C73" s="459">
        <f>GHG!D20</f>
        <v>2.9100983999999996E-3</v>
      </c>
      <c r="D73" s="459">
        <f>GHG!E20</f>
        <v>1.2746230991999997E-2</v>
      </c>
      <c r="E73" s="455" t="s">
        <v>35</v>
      </c>
      <c r="F73" s="457" t="s">
        <v>35</v>
      </c>
    </row>
    <row r="74" spans="2:6" ht="13.5" thickTop="1" x14ac:dyDescent="0.2"/>
  </sheetData>
  <mergeCells count="24">
    <mergeCell ref="E30:F30"/>
    <mergeCell ref="C44:D44"/>
    <mergeCell ref="B44:B45"/>
    <mergeCell ref="C30:D30"/>
    <mergeCell ref="B30:B31"/>
    <mergeCell ref="E44:F44"/>
    <mergeCell ref="B62:B63"/>
    <mergeCell ref="C62:D62"/>
    <mergeCell ref="E62:F62"/>
    <mergeCell ref="B50:B51"/>
    <mergeCell ref="E50:F50"/>
    <mergeCell ref="E56:F56"/>
    <mergeCell ref="B56:B57"/>
    <mergeCell ref="C56:D56"/>
    <mergeCell ref="C50:D50"/>
    <mergeCell ref="A1:I1"/>
    <mergeCell ref="A2:I2"/>
    <mergeCell ref="E10:F10"/>
    <mergeCell ref="C21:D21"/>
    <mergeCell ref="E21:F21"/>
    <mergeCell ref="C10:D10"/>
    <mergeCell ref="B21:B22"/>
    <mergeCell ref="A3:I3"/>
    <mergeCell ref="B10:B11"/>
  </mergeCells>
  <phoneticPr fontId="3" type="noConversion"/>
  <pageMargins left="0.75" right="0.75" top="1" bottom="1" header="0.5" footer="0.5"/>
  <pageSetup scale="67" orientation="portrait" r:id="rId1"/>
  <headerFooter alignWithMargins="0">
    <oddHeader>&amp;ROutput - Criteria - &amp;D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2A67-D0C3-45D5-B784-5274D6CB0637}">
  <sheetPr codeName="Sheet6">
    <tabColor indexed="12"/>
    <pageSetUpPr fitToPage="1"/>
  </sheetPr>
  <dimension ref="A1:O79"/>
  <sheetViews>
    <sheetView zoomScaleNormal="100" workbookViewId="0">
      <selection activeCell="A2" sqref="A2:O2"/>
    </sheetView>
  </sheetViews>
  <sheetFormatPr defaultRowHeight="12.75" x14ac:dyDescent="0.2"/>
  <cols>
    <col min="2" max="2" width="10" customWidth="1"/>
    <col min="3" max="3" width="4.85546875" bestFit="1" customWidth="1"/>
    <col min="4" max="4" width="4.7109375" customWidth="1"/>
    <col min="5" max="5" width="5.28515625" bestFit="1" customWidth="1"/>
    <col min="6" max="6" width="21.42578125" bestFit="1" customWidth="1"/>
    <col min="7" max="7" width="13.42578125" bestFit="1" customWidth="1"/>
    <col min="8" max="9" width="13.42578125" customWidth="1"/>
    <col min="10" max="11" width="12.5703125" bestFit="1" customWidth="1"/>
    <col min="12" max="12" width="11" customWidth="1"/>
    <col min="13" max="13" width="13.42578125" bestFit="1" customWidth="1"/>
    <col min="14" max="14" width="8" customWidth="1"/>
    <col min="15" max="15" width="7" bestFit="1" customWidth="1"/>
  </cols>
  <sheetData>
    <row r="1" spans="1:15" ht="20.25" x14ac:dyDescent="0.3">
      <c r="A1" s="598" t="s">
        <v>509</v>
      </c>
      <c r="B1" s="598"/>
      <c r="C1" s="598"/>
      <c r="D1" s="598"/>
      <c r="E1" s="598"/>
      <c r="F1" s="598"/>
      <c r="G1" s="598"/>
      <c r="H1" s="598"/>
      <c r="I1" s="598"/>
      <c r="J1" s="598"/>
      <c r="K1" s="598"/>
      <c r="L1" s="598"/>
      <c r="M1" s="598"/>
      <c r="N1" s="598"/>
      <c r="O1" s="598"/>
    </row>
    <row r="2" spans="1:15" x14ac:dyDescent="0.2">
      <c r="A2" s="599">
        <v>40876</v>
      </c>
      <c r="B2" s="599"/>
      <c r="C2" s="599"/>
      <c r="D2" s="599"/>
      <c r="E2" s="599"/>
      <c r="F2" s="599"/>
      <c r="G2" s="599"/>
      <c r="H2" s="599"/>
      <c r="I2" s="599"/>
      <c r="J2" s="599"/>
      <c r="K2" s="599"/>
      <c r="L2" s="599"/>
      <c r="M2" s="599"/>
      <c r="N2" s="599"/>
      <c r="O2" s="599"/>
    </row>
    <row r="3" spans="1:15" ht="25.5" customHeight="1" x14ac:dyDescent="0.2">
      <c r="A3" s="606" t="s">
        <v>522</v>
      </c>
      <c r="B3" s="606"/>
      <c r="C3" s="606"/>
      <c r="D3" s="606"/>
      <c r="E3" s="606"/>
      <c r="F3" s="606"/>
      <c r="G3" s="606"/>
      <c r="H3" s="606"/>
      <c r="I3" s="606"/>
      <c r="J3" s="606"/>
      <c r="K3" s="606"/>
      <c r="L3" s="606"/>
      <c r="M3" s="606"/>
      <c r="N3" s="606"/>
      <c r="O3" s="606"/>
    </row>
    <row r="5" spans="1:15" x14ac:dyDescent="0.2">
      <c r="B5" t="s">
        <v>336</v>
      </c>
    </row>
    <row r="6" spans="1:15" x14ac:dyDescent="0.2">
      <c r="B6" s="226">
        <f>Inputs!B76</f>
        <v>3744.8</v>
      </c>
      <c r="C6" t="s">
        <v>389</v>
      </c>
      <c r="I6" s="146" t="s">
        <v>255</v>
      </c>
    </row>
    <row r="7" spans="1:15" x14ac:dyDescent="0.2">
      <c r="B7" s="226"/>
      <c r="I7" s="3" t="s">
        <v>22</v>
      </c>
    </row>
    <row r="8" spans="1:15" x14ac:dyDescent="0.2">
      <c r="A8" s="2"/>
      <c r="I8" t="s">
        <v>331</v>
      </c>
    </row>
    <row r="9" spans="1:15" x14ac:dyDescent="0.2">
      <c r="A9" s="46"/>
      <c r="I9" t="s">
        <v>343</v>
      </c>
    </row>
    <row r="10" spans="1:15" x14ac:dyDescent="0.2">
      <c r="B10" s="330" t="str">
        <f>IF(Inputs!$B$79=2,"DO NOT USE THESE, YOU SPECIFIED BATCH MIX IN THE INPUTS!","")</f>
        <v/>
      </c>
      <c r="I10" t="s">
        <v>355</v>
      </c>
    </row>
    <row r="11" spans="1:15" ht="13.5" thickBot="1" x14ac:dyDescent="0.25"/>
    <row r="12" spans="1:15" ht="14.25" thickTop="1" thickBot="1" x14ac:dyDescent="0.25">
      <c r="B12" s="631" t="s">
        <v>334</v>
      </c>
      <c r="C12" s="611"/>
      <c r="D12" s="611"/>
      <c r="E12" s="611"/>
      <c r="F12" s="611"/>
      <c r="G12" s="611"/>
      <c r="H12" s="611"/>
      <c r="I12" s="612"/>
      <c r="J12" s="610" t="s">
        <v>333</v>
      </c>
      <c r="K12" s="611"/>
      <c r="L12" s="612"/>
      <c r="M12" s="610" t="s">
        <v>359</v>
      </c>
      <c r="N12" s="611"/>
      <c r="O12" s="636"/>
    </row>
    <row r="13" spans="1:15" x14ac:dyDescent="0.2">
      <c r="B13" s="615" t="s">
        <v>75</v>
      </c>
      <c r="C13" s="617" t="s">
        <v>78</v>
      </c>
      <c r="D13" s="620" t="s">
        <v>79</v>
      </c>
      <c r="E13" s="623" t="s">
        <v>169</v>
      </c>
      <c r="F13" s="628" t="s">
        <v>4</v>
      </c>
      <c r="G13" s="607" t="s">
        <v>248</v>
      </c>
      <c r="H13" s="608"/>
      <c r="I13" s="609"/>
      <c r="J13" s="607" t="s">
        <v>248</v>
      </c>
      <c r="K13" s="608"/>
      <c r="L13" s="609"/>
      <c r="M13" s="628" t="s">
        <v>315</v>
      </c>
      <c r="N13" s="632" t="s">
        <v>360</v>
      </c>
      <c r="O13" s="633"/>
    </row>
    <row r="14" spans="1:15" ht="13.5" thickBot="1" x14ac:dyDescent="0.25">
      <c r="B14" s="616"/>
      <c r="C14" s="618"/>
      <c r="D14" s="621"/>
      <c r="E14" s="624"/>
      <c r="F14" s="629"/>
      <c r="G14" s="613" t="s">
        <v>9</v>
      </c>
      <c r="H14" s="193" t="s">
        <v>357</v>
      </c>
      <c r="I14" s="194" t="s">
        <v>358</v>
      </c>
      <c r="J14" s="613" t="s">
        <v>9</v>
      </c>
      <c r="K14" s="193" t="s">
        <v>357</v>
      </c>
      <c r="L14" s="194" t="s">
        <v>358</v>
      </c>
      <c r="M14" s="630"/>
      <c r="N14" s="634"/>
      <c r="O14" s="635"/>
    </row>
    <row r="15" spans="1:15" ht="13.5" thickBot="1" x14ac:dyDescent="0.25">
      <c r="B15" s="605"/>
      <c r="C15" s="619"/>
      <c r="D15" s="622"/>
      <c r="E15" s="625"/>
      <c r="F15" s="630"/>
      <c r="G15" s="614"/>
      <c r="H15" s="195" t="s">
        <v>10</v>
      </c>
      <c r="I15" s="22" t="s">
        <v>356</v>
      </c>
      <c r="J15" s="614"/>
      <c r="K15" s="195" t="s">
        <v>10</v>
      </c>
      <c r="L15" s="22" t="s">
        <v>356</v>
      </c>
      <c r="M15" s="164" t="s">
        <v>231</v>
      </c>
      <c r="N15" s="8" t="s">
        <v>231</v>
      </c>
      <c r="O15" s="10" t="s">
        <v>332</v>
      </c>
    </row>
    <row r="16" spans="1:15" x14ac:dyDescent="0.2">
      <c r="B16" s="153" t="s">
        <v>182</v>
      </c>
      <c r="C16" s="86" t="s">
        <v>99</v>
      </c>
      <c r="D16" s="86" t="s">
        <v>99</v>
      </c>
      <c r="E16" s="86"/>
      <c r="F16" s="87" t="s">
        <v>341</v>
      </c>
      <c r="G16" s="392">
        <f>LOSL.Tox!G42+'Drum - Prod.Tox'!G40</f>
        <v>1.6045055916851896E-2</v>
      </c>
      <c r="H16" s="400">
        <f>G16*8760/2000</f>
        <v>7.0277344915811293E-2</v>
      </c>
      <c r="I16" s="401">
        <f>G16*$B$6/2000</f>
        <v>3.004276269871349E-2</v>
      </c>
      <c r="J16" s="179">
        <f t="shared" ref="J16:J52" si="0">IF(OR(IF(C16="X",1),IF(E16="X",1)),G16,"")</f>
        <v>1.6045055916851896E-2</v>
      </c>
      <c r="K16" s="331">
        <f t="shared" ref="K16:K50" si="1">IF(J16="","",J16*8760/2000)</f>
        <v>7.0277344915811293E-2</v>
      </c>
      <c r="L16" s="332">
        <f>IF(J16="","",J16*$B$6/2000)</f>
        <v>3.004276269871349E-2</v>
      </c>
      <c r="M16" s="273">
        <f t="shared" ref="M16:M47" si="2">IF(N16&lt;&gt;"",24*G16,"")</f>
        <v>0.38508134200444549</v>
      </c>
      <c r="N16" s="274">
        <v>105</v>
      </c>
      <c r="O16" s="275" t="str">
        <f>IF(N16="+","N",IF(N16&lt;&gt;"",IF(AND(ROUND(M16,3)=0,N16=0),"Y",IF(M16&gt;=N16,"N","Y")),""))</f>
        <v>Y</v>
      </c>
    </row>
    <row r="17" spans="2:15" x14ac:dyDescent="0.2">
      <c r="B17" s="190" t="s">
        <v>351</v>
      </c>
      <c r="C17" s="191" t="s">
        <v>99</v>
      </c>
      <c r="D17" s="191" t="s">
        <v>99</v>
      </c>
      <c r="E17" s="191" t="s">
        <v>99</v>
      </c>
      <c r="F17" s="192" t="s">
        <v>352</v>
      </c>
      <c r="G17" s="393">
        <f>'Drum - Prod.Tox'!G11</f>
        <v>8.3999999999999994E-11</v>
      </c>
      <c r="H17" s="402">
        <f t="shared" ref="H17:H71" si="3">G17*8760/2000</f>
        <v>3.6791999999999996E-10</v>
      </c>
      <c r="I17" s="403">
        <f t="shared" ref="I17:I71" si="4">G17*$B$6/2000</f>
        <v>1.5728159999999999E-10</v>
      </c>
      <c r="J17" s="179">
        <f t="shared" si="0"/>
        <v>8.3999999999999994E-11</v>
      </c>
      <c r="K17" s="196">
        <f t="shared" si="1"/>
        <v>3.6791999999999996E-10</v>
      </c>
      <c r="L17" s="170">
        <f t="shared" ref="L17:L71" si="5">IF(J17="","",J17*$B$6/2000)</f>
        <v>1.5728159999999999E-10</v>
      </c>
      <c r="M17" s="276">
        <f t="shared" si="2"/>
        <v>2.0159999999999997E-9</v>
      </c>
      <c r="N17" s="277">
        <v>0</v>
      </c>
      <c r="O17" s="278" t="str">
        <f t="shared" ref="O17:O71" si="6">IF(N17="+","N",IF(N17&lt;&gt;"",IF(AND(ROUND(M17,3)=0,N17=0),"Y",IF(M17&gt;=N17,"N","Y")),""))</f>
        <v>Y</v>
      </c>
    </row>
    <row r="18" spans="2:15" x14ac:dyDescent="0.2">
      <c r="B18" s="154" t="s">
        <v>186</v>
      </c>
      <c r="C18" s="88" t="s">
        <v>99</v>
      </c>
      <c r="D18" s="88"/>
      <c r="E18" s="88" t="s">
        <v>99</v>
      </c>
      <c r="F18" s="133" t="s">
        <v>212</v>
      </c>
      <c r="G18" s="394">
        <f>LOSL.Tox!G18+'Drum - Prod.Tox'!G12</f>
        <v>7.6597706544555111E-2</v>
      </c>
      <c r="H18" s="404">
        <f t="shared" si="3"/>
        <v>0.33549795466515137</v>
      </c>
      <c r="I18" s="405">
        <f t="shared" si="4"/>
        <v>0.14342154573402499</v>
      </c>
      <c r="J18" s="168">
        <f t="shared" si="0"/>
        <v>7.6597706544555111E-2</v>
      </c>
      <c r="K18" s="197">
        <f t="shared" si="1"/>
        <v>0.33549795466515137</v>
      </c>
      <c r="L18" s="169">
        <f t="shared" si="5"/>
        <v>0.14342154573402499</v>
      </c>
      <c r="M18" s="276" t="str">
        <f t="shared" si="2"/>
        <v/>
      </c>
      <c r="N18" s="279"/>
      <c r="O18" s="278" t="str">
        <f t="shared" si="6"/>
        <v/>
      </c>
    </row>
    <row r="19" spans="2:15" x14ac:dyDescent="0.2">
      <c r="B19" s="154" t="s">
        <v>187</v>
      </c>
      <c r="C19" s="88" t="s">
        <v>99</v>
      </c>
      <c r="D19" s="88"/>
      <c r="E19" s="88" t="s">
        <v>99</v>
      </c>
      <c r="F19" s="89" t="s">
        <v>213</v>
      </c>
      <c r="G19" s="395">
        <f>LOSL.Tox!G19+'Drum - Prod.Tox'!G13</f>
        <v>1.3918863576402917E-3</v>
      </c>
      <c r="H19" s="406">
        <f t="shared" si="3"/>
        <v>6.0964622464644777E-3</v>
      </c>
      <c r="I19" s="407">
        <f t="shared" si="4"/>
        <v>2.6061680160456824E-3</v>
      </c>
      <c r="J19" s="165">
        <f t="shared" si="0"/>
        <v>1.3918863576402917E-3</v>
      </c>
      <c r="K19" s="198">
        <f t="shared" si="1"/>
        <v>6.0964622464644777E-3</v>
      </c>
      <c r="L19" s="170">
        <f t="shared" si="5"/>
        <v>2.6061680160456824E-3</v>
      </c>
      <c r="M19" s="276" t="str">
        <f t="shared" si="2"/>
        <v/>
      </c>
      <c r="N19" s="279"/>
      <c r="O19" s="278" t="str">
        <f t="shared" si="6"/>
        <v/>
      </c>
    </row>
    <row r="20" spans="2:15" x14ac:dyDescent="0.2">
      <c r="B20" s="154" t="s">
        <v>188</v>
      </c>
      <c r="C20" s="88" t="s">
        <v>99</v>
      </c>
      <c r="D20" s="88"/>
      <c r="E20" s="88" t="s">
        <v>99</v>
      </c>
      <c r="F20" s="89" t="s">
        <v>214</v>
      </c>
      <c r="G20" s="395">
        <f>LOSL.Tox!G20+'Drum - Prod.Tox'!G14</f>
        <v>8.8524027471886431E-3</v>
      </c>
      <c r="H20" s="406">
        <f t="shared" si="3"/>
        <v>3.8773524032686253E-2</v>
      </c>
      <c r="I20" s="407">
        <f t="shared" si="4"/>
        <v>1.6575238903836016E-2</v>
      </c>
      <c r="J20" s="165">
        <f t="shared" si="0"/>
        <v>8.8524027471886431E-3</v>
      </c>
      <c r="K20" s="197">
        <f t="shared" si="1"/>
        <v>3.8773524032686253E-2</v>
      </c>
      <c r="L20" s="169">
        <f t="shared" si="5"/>
        <v>1.6575238903836016E-2</v>
      </c>
      <c r="M20" s="276" t="str">
        <f t="shared" si="2"/>
        <v/>
      </c>
      <c r="N20" s="279"/>
      <c r="O20" s="278" t="str">
        <f t="shared" si="6"/>
        <v/>
      </c>
    </row>
    <row r="21" spans="2:15" x14ac:dyDescent="0.2">
      <c r="B21" s="154" t="s">
        <v>395</v>
      </c>
      <c r="C21" s="88" t="s">
        <v>99</v>
      </c>
      <c r="D21" s="88" t="s">
        <v>99</v>
      </c>
      <c r="E21" s="88"/>
      <c r="F21" s="89" t="s">
        <v>402</v>
      </c>
      <c r="G21" s="395">
        <f>'Drum - Prod.Tox'!G15</f>
        <v>0.52</v>
      </c>
      <c r="H21" s="406">
        <f t="shared" si="3"/>
        <v>2.2776000000000001</v>
      </c>
      <c r="I21" s="407">
        <f t="shared" si="4"/>
        <v>0.97364800000000007</v>
      </c>
      <c r="J21" s="165">
        <f>IF(OR(IF(C21="X",1),IF(E21="X",1)),G21,"")</f>
        <v>0.52</v>
      </c>
      <c r="K21" s="198">
        <f t="shared" si="1"/>
        <v>2.2776000000000001</v>
      </c>
      <c r="L21" s="170">
        <f t="shared" si="5"/>
        <v>0.97364800000000007</v>
      </c>
      <c r="M21" s="276">
        <f t="shared" si="2"/>
        <v>12.48</v>
      </c>
      <c r="N21" s="279">
        <v>21.6</v>
      </c>
      <c r="O21" s="278" t="str">
        <f t="shared" si="6"/>
        <v>Y</v>
      </c>
    </row>
    <row r="22" spans="2:15" x14ac:dyDescent="0.2">
      <c r="B22" s="154" t="s">
        <v>396</v>
      </c>
      <c r="C22" s="88" t="s">
        <v>99</v>
      </c>
      <c r="D22" s="88" t="s">
        <v>99</v>
      </c>
      <c r="E22" s="88"/>
      <c r="F22" s="89" t="s">
        <v>403</v>
      </c>
      <c r="G22" s="395">
        <f>'Drum - Prod.Tox'!G16</f>
        <v>1.04E-2</v>
      </c>
      <c r="H22" s="404">
        <f t="shared" si="3"/>
        <v>4.5552000000000002E-2</v>
      </c>
      <c r="I22" s="405">
        <f t="shared" si="4"/>
        <v>1.9472960000000001E-2</v>
      </c>
      <c r="J22" s="165">
        <f>IF(OR(IF(C22="X",1),IF(E22="X",1)),G22,"")</f>
        <v>1.04E-2</v>
      </c>
      <c r="K22" s="198">
        <f t="shared" si="1"/>
        <v>4.5552000000000002E-2</v>
      </c>
      <c r="L22" s="170">
        <f t="shared" si="5"/>
        <v>1.9472960000000001E-2</v>
      </c>
      <c r="M22" s="276">
        <f t="shared" si="2"/>
        <v>0.24959999999999999</v>
      </c>
      <c r="N22" s="279">
        <v>1.4999999999999999E-2</v>
      </c>
      <c r="O22" s="278" t="str">
        <f t="shared" si="6"/>
        <v>N</v>
      </c>
    </row>
    <row r="23" spans="2:15" x14ac:dyDescent="0.2">
      <c r="B23" s="154" t="s">
        <v>189</v>
      </c>
      <c r="C23" s="88" t="s">
        <v>99</v>
      </c>
      <c r="D23" s="88"/>
      <c r="E23" s="88" t="s">
        <v>99</v>
      </c>
      <c r="F23" s="89" t="s">
        <v>215</v>
      </c>
      <c r="G23" s="395">
        <f>LOSL.Tox!G21+'Drum - Prod.Tox'!G17</f>
        <v>1.4674847939972057E-3</v>
      </c>
      <c r="H23" s="406">
        <f t="shared" si="3"/>
        <v>6.4275833977077614E-3</v>
      </c>
      <c r="I23" s="407">
        <f t="shared" si="4"/>
        <v>2.7477185282803684E-3</v>
      </c>
      <c r="J23" s="165">
        <f t="shared" si="0"/>
        <v>1.4674847939972057E-3</v>
      </c>
      <c r="K23" s="198">
        <f t="shared" si="1"/>
        <v>6.4275833977077614E-3</v>
      </c>
      <c r="L23" s="170">
        <f t="shared" si="5"/>
        <v>2.7477185282803684E-3</v>
      </c>
      <c r="M23" s="276" t="str">
        <f t="shared" si="2"/>
        <v/>
      </c>
      <c r="N23" s="279"/>
      <c r="O23" s="278" t="str">
        <f t="shared" si="6"/>
        <v/>
      </c>
    </row>
    <row r="24" spans="2:15" x14ac:dyDescent="0.2">
      <c r="B24" s="155" t="s">
        <v>174</v>
      </c>
      <c r="C24" s="88" t="s">
        <v>99</v>
      </c>
      <c r="D24" s="88" t="s">
        <v>99</v>
      </c>
      <c r="E24" s="88"/>
      <c r="F24" s="89" t="s">
        <v>155</v>
      </c>
      <c r="G24" s="395">
        <f>'Drum - Prod.Tox'!G18</f>
        <v>2.2400000000000002E-4</v>
      </c>
      <c r="H24" s="406">
        <f t="shared" si="3"/>
        <v>9.8112000000000004E-4</v>
      </c>
      <c r="I24" s="407">
        <f t="shared" si="4"/>
        <v>4.1941760000000004E-4</v>
      </c>
      <c r="J24" s="165">
        <f t="shared" si="0"/>
        <v>2.2400000000000002E-4</v>
      </c>
      <c r="K24" s="198">
        <f t="shared" si="1"/>
        <v>9.8112000000000004E-4</v>
      </c>
      <c r="L24" s="170">
        <f>IF(J24="","",J24*$B$6/2000)</f>
        <v>4.1941760000000004E-4</v>
      </c>
      <c r="M24" s="276">
        <f t="shared" si="2"/>
        <v>5.3760000000000006E-3</v>
      </c>
      <c r="N24" s="279">
        <v>1.2E-2</v>
      </c>
      <c r="O24" s="278" t="str">
        <f t="shared" si="6"/>
        <v>Y</v>
      </c>
    </row>
    <row r="25" spans="2:15" x14ac:dyDescent="0.2">
      <c r="B25" s="155" t="s">
        <v>161</v>
      </c>
      <c r="C25" s="88" t="s">
        <v>99</v>
      </c>
      <c r="D25" s="88" t="s">
        <v>99</v>
      </c>
      <c r="E25" s="88"/>
      <c r="F25" s="106" t="s">
        <v>209</v>
      </c>
      <c r="G25" s="394">
        <f>LOSL.Tox!G22+'Drum - Prod.Tox'!G19</f>
        <v>0.1584249569536981</v>
      </c>
      <c r="H25" s="404">
        <f t="shared" si="3"/>
        <v>0.69390131145719769</v>
      </c>
      <c r="I25" s="405">
        <f t="shared" si="4"/>
        <v>0.29663488940010435</v>
      </c>
      <c r="J25" s="168">
        <f t="shared" si="0"/>
        <v>0.1584249569536981</v>
      </c>
      <c r="K25" s="197">
        <f t="shared" si="1"/>
        <v>0.69390131145719769</v>
      </c>
      <c r="L25" s="169">
        <f t="shared" si="5"/>
        <v>0.29663488940010435</v>
      </c>
      <c r="M25" s="276">
        <f t="shared" si="2"/>
        <v>3.8021989668887546</v>
      </c>
      <c r="N25" s="279">
        <v>1.8</v>
      </c>
      <c r="O25" s="278" t="str">
        <f t="shared" si="6"/>
        <v>N</v>
      </c>
    </row>
    <row r="26" spans="2:15" x14ac:dyDescent="0.2">
      <c r="B26" s="154" t="s">
        <v>190</v>
      </c>
      <c r="C26" s="88" t="s">
        <v>99</v>
      </c>
      <c r="D26" s="88"/>
      <c r="E26" s="88" t="s">
        <v>99</v>
      </c>
      <c r="F26" s="89" t="s">
        <v>216</v>
      </c>
      <c r="G26" s="395">
        <f>LOSL.Tox!G23+'Drum - Prod.Tox'!G20</f>
        <v>1.6678241291760557E-4</v>
      </c>
      <c r="H26" s="406">
        <f t="shared" si="3"/>
        <v>7.3050696857911244E-4</v>
      </c>
      <c r="I26" s="407">
        <f t="shared" si="4"/>
        <v>3.1228338994692469E-4</v>
      </c>
      <c r="J26" s="165">
        <f t="shared" si="0"/>
        <v>1.6678241291760557E-4</v>
      </c>
      <c r="K26" s="198">
        <f t="shared" si="1"/>
        <v>7.3050696857911244E-4</v>
      </c>
      <c r="L26" s="170">
        <f t="shared" si="5"/>
        <v>3.1228338994692469E-4</v>
      </c>
      <c r="M26" s="276" t="str">
        <f t="shared" si="2"/>
        <v/>
      </c>
      <c r="N26" s="279"/>
      <c r="O26" s="278" t="str">
        <f t="shared" si="6"/>
        <v/>
      </c>
    </row>
    <row r="27" spans="2:15" x14ac:dyDescent="0.2">
      <c r="B27" s="154" t="s">
        <v>191</v>
      </c>
      <c r="C27" s="88" t="s">
        <v>99</v>
      </c>
      <c r="D27" s="88"/>
      <c r="E27" s="88" t="s">
        <v>99</v>
      </c>
      <c r="F27" s="89" t="s">
        <v>217</v>
      </c>
      <c r="G27" s="395">
        <f>LOSL.Tox!G24+'Drum - Prod.Tox'!G21</f>
        <v>7.0566206927420835E-6</v>
      </c>
      <c r="H27" s="406">
        <f t="shared" si="3"/>
        <v>3.0907998634210326E-5</v>
      </c>
      <c r="I27" s="407">
        <f t="shared" si="4"/>
        <v>1.3212816585090277E-5</v>
      </c>
      <c r="J27" s="165">
        <f t="shared" si="0"/>
        <v>7.0566206927420835E-6</v>
      </c>
      <c r="K27" s="198">
        <f t="shared" si="1"/>
        <v>3.0907998634210326E-5</v>
      </c>
      <c r="L27" s="170">
        <f t="shared" si="5"/>
        <v>1.3212816585090277E-5</v>
      </c>
      <c r="M27" s="276" t="str">
        <f t="shared" si="2"/>
        <v/>
      </c>
      <c r="N27" s="279"/>
      <c r="O27" s="278" t="str">
        <f t="shared" si="6"/>
        <v/>
      </c>
    </row>
    <row r="28" spans="2:15" x14ac:dyDescent="0.2">
      <c r="B28" s="154" t="s">
        <v>192</v>
      </c>
      <c r="C28" s="88" t="s">
        <v>99</v>
      </c>
      <c r="D28" s="88"/>
      <c r="E28" s="88" t="s">
        <v>99</v>
      </c>
      <c r="F28" s="89" t="s">
        <v>218</v>
      </c>
      <c r="G28" s="395">
        <f>LOSL.Tox!G25+'Drum - Prod.Tox'!G22</f>
        <v>5.0364485767321666E-5</v>
      </c>
      <c r="H28" s="406">
        <f t="shared" si="3"/>
        <v>2.2059644766086889E-4</v>
      </c>
      <c r="I28" s="407">
        <f t="shared" si="4"/>
        <v>9.430246315073309E-5</v>
      </c>
      <c r="J28" s="165">
        <f t="shared" si="0"/>
        <v>5.0364485767321666E-5</v>
      </c>
      <c r="K28" s="198">
        <f t="shared" si="1"/>
        <v>2.2059644766086889E-4</v>
      </c>
      <c r="L28" s="170">
        <f t="shared" si="5"/>
        <v>9.430246315073309E-5</v>
      </c>
      <c r="M28" s="276" t="str">
        <f t="shared" si="2"/>
        <v/>
      </c>
      <c r="N28" s="279"/>
      <c r="O28" s="278" t="str">
        <f t="shared" si="6"/>
        <v/>
      </c>
    </row>
    <row r="29" spans="2:15" x14ac:dyDescent="0.2">
      <c r="B29" s="154" t="s">
        <v>193</v>
      </c>
      <c r="C29" s="88"/>
      <c r="D29" s="88"/>
      <c r="E29" s="88" t="s">
        <v>99</v>
      </c>
      <c r="F29" s="89" t="s">
        <v>219</v>
      </c>
      <c r="G29" s="395">
        <f>LOSL.Tox!G26+'Drum - Prod.Tox'!G23</f>
        <v>6.4285027995337573E-5</v>
      </c>
      <c r="H29" s="406">
        <f t="shared" si="3"/>
        <v>2.815684226195786E-4</v>
      </c>
      <c r="I29" s="407">
        <f t="shared" si="4"/>
        <v>1.2036728641847009E-4</v>
      </c>
      <c r="J29" s="165">
        <f t="shared" si="0"/>
        <v>6.4285027995337573E-5</v>
      </c>
      <c r="K29" s="198">
        <f t="shared" si="1"/>
        <v>2.815684226195786E-4</v>
      </c>
      <c r="L29" s="170">
        <f t="shared" si="5"/>
        <v>1.2036728641847009E-4</v>
      </c>
      <c r="M29" s="276" t="str">
        <f t="shared" si="2"/>
        <v/>
      </c>
      <c r="N29" s="279"/>
      <c r="O29" s="278" t="str">
        <f t="shared" si="6"/>
        <v/>
      </c>
    </row>
    <row r="30" spans="2:15" x14ac:dyDescent="0.2">
      <c r="B30" s="154" t="s">
        <v>194</v>
      </c>
      <c r="C30" s="88" t="s">
        <v>99</v>
      </c>
      <c r="D30" s="88"/>
      <c r="E30" s="88" t="s">
        <v>99</v>
      </c>
      <c r="F30" s="89" t="s">
        <v>220</v>
      </c>
      <c r="G30" s="395">
        <f>LOSL.Tox!G27+'Drum - Prod.Tox'!G24</f>
        <v>1.8591121441830417E-5</v>
      </c>
      <c r="H30" s="406">
        <f t="shared" si="3"/>
        <v>8.1429111915217215E-5</v>
      </c>
      <c r="I30" s="407">
        <f t="shared" si="4"/>
        <v>3.4810015787683275E-5</v>
      </c>
      <c r="J30" s="165">
        <f t="shared" si="0"/>
        <v>1.8591121441830417E-5</v>
      </c>
      <c r="K30" s="198">
        <f t="shared" si="1"/>
        <v>8.1429111915217215E-5</v>
      </c>
      <c r="L30" s="170">
        <f t="shared" si="5"/>
        <v>3.4810015787683275E-5</v>
      </c>
      <c r="M30" s="276" t="str">
        <f t="shared" si="2"/>
        <v/>
      </c>
      <c r="N30" s="279"/>
      <c r="O30" s="278" t="str">
        <f t="shared" si="6"/>
        <v/>
      </c>
    </row>
    <row r="31" spans="2:15" x14ac:dyDescent="0.2">
      <c r="B31" s="154" t="s">
        <v>195</v>
      </c>
      <c r="C31" s="88" t="s">
        <v>99</v>
      </c>
      <c r="D31" s="88"/>
      <c r="E31" s="88" t="s">
        <v>99</v>
      </c>
      <c r="F31" s="89" t="s">
        <v>221</v>
      </c>
      <c r="G31" s="395">
        <f>LOSL.Tox!G28+'Drum - Prod.Tox'!G25</f>
        <v>1.9400245880014168E-5</v>
      </c>
      <c r="H31" s="406">
        <f t="shared" si="3"/>
        <v>8.4973076954462064E-5</v>
      </c>
      <c r="I31" s="407">
        <f t="shared" si="4"/>
        <v>3.632502038573853E-5</v>
      </c>
      <c r="J31" s="165">
        <f t="shared" si="0"/>
        <v>1.9400245880014168E-5</v>
      </c>
      <c r="K31" s="198">
        <f t="shared" si="1"/>
        <v>8.4973076954462064E-5</v>
      </c>
      <c r="L31" s="170">
        <f t="shared" si="5"/>
        <v>3.632502038573853E-5</v>
      </c>
      <c r="M31" s="276" t="str">
        <f t="shared" si="2"/>
        <v/>
      </c>
      <c r="N31" s="279"/>
      <c r="O31" s="278" t="str">
        <f t="shared" si="6"/>
        <v/>
      </c>
    </row>
    <row r="32" spans="2:15" x14ac:dyDescent="0.2">
      <c r="B32" s="155" t="s">
        <v>176</v>
      </c>
      <c r="C32" s="88" t="s">
        <v>99</v>
      </c>
      <c r="D32" s="88" t="s">
        <v>99</v>
      </c>
      <c r="E32" s="88"/>
      <c r="F32" s="89" t="s">
        <v>157</v>
      </c>
      <c r="G32" s="395">
        <f>'Drum - Prod.Tox'!G26</f>
        <v>1.64E-4</v>
      </c>
      <c r="H32" s="406">
        <f t="shared" si="3"/>
        <v>7.1831999999999994E-4</v>
      </c>
      <c r="I32" s="407">
        <f t="shared" si="4"/>
        <v>3.0707359999999998E-4</v>
      </c>
      <c r="J32" s="165">
        <f t="shared" si="0"/>
        <v>1.64E-4</v>
      </c>
      <c r="K32" s="198">
        <f t="shared" si="1"/>
        <v>7.1831999999999994E-4</v>
      </c>
      <c r="L32" s="170">
        <f>IF(J32="","",J32*$B$6/2000)</f>
        <v>3.0707359999999998E-4</v>
      </c>
      <c r="M32" s="276">
        <f t="shared" si="2"/>
        <v>3.9360000000000003E-3</v>
      </c>
      <c r="N32" s="279">
        <v>3.0000000000000001E-3</v>
      </c>
      <c r="O32" s="278" t="str">
        <f t="shared" si="6"/>
        <v>N</v>
      </c>
    </row>
    <row r="33" spans="2:15" x14ac:dyDescent="0.2">
      <c r="B33" s="161" t="s">
        <v>289</v>
      </c>
      <c r="C33" s="138" t="s">
        <v>99</v>
      </c>
      <c r="D33" s="138" t="s">
        <v>99</v>
      </c>
      <c r="E33" s="138"/>
      <c r="F33" s="133" t="s">
        <v>290</v>
      </c>
      <c r="G33" s="395">
        <f>LOSL.Tox!G30</f>
        <v>9.962131709911645E-4</v>
      </c>
      <c r="H33" s="406">
        <f t="shared" si="3"/>
        <v>4.3634136889413007E-3</v>
      </c>
      <c r="I33" s="407">
        <f t="shared" si="4"/>
        <v>1.8653095413638564E-3</v>
      </c>
      <c r="J33" s="165">
        <f t="shared" si="0"/>
        <v>9.962131709911645E-4</v>
      </c>
      <c r="K33" s="198">
        <f t="shared" si="1"/>
        <v>4.3634136889413007E-3</v>
      </c>
      <c r="L33" s="170">
        <f t="shared" si="5"/>
        <v>1.8653095413638564E-3</v>
      </c>
      <c r="M33" s="276">
        <f t="shared" si="2"/>
        <v>2.3909116103787948E-2</v>
      </c>
      <c r="N33" s="277">
        <v>1.8</v>
      </c>
      <c r="O33" s="278" t="str">
        <f t="shared" si="6"/>
        <v>Y</v>
      </c>
    </row>
    <row r="34" spans="2:15" x14ac:dyDescent="0.2">
      <c r="B34" s="154" t="s">
        <v>350</v>
      </c>
      <c r="C34" s="88" t="s">
        <v>99</v>
      </c>
      <c r="D34" s="88"/>
      <c r="E34" s="88"/>
      <c r="F34" s="89" t="s">
        <v>344</v>
      </c>
      <c r="G34" s="395">
        <f>'Drum - Prod.Tox'!G27</f>
        <v>2.2000000000000001E-3</v>
      </c>
      <c r="H34" s="406">
        <f t="shared" si="3"/>
        <v>9.6360000000000005E-3</v>
      </c>
      <c r="I34" s="407">
        <f t="shared" si="4"/>
        <v>4.1192800000000003E-3</v>
      </c>
      <c r="J34" s="165">
        <f t="shared" si="0"/>
        <v>2.2000000000000001E-3</v>
      </c>
      <c r="K34" s="198">
        <f t="shared" si="1"/>
        <v>9.6360000000000005E-3</v>
      </c>
      <c r="L34" s="170">
        <f>IF(J34="","",J34*$B$6/2000)</f>
        <v>4.1192800000000003E-3</v>
      </c>
      <c r="M34" s="276" t="str">
        <f t="shared" si="2"/>
        <v/>
      </c>
      <c r="N34" s="279"/>
      <c r="O34" s="278" t="str">
        <f t="shared" si="6"/>
        <v/>
      </c>
    </row>
    <row r="35" spans="2:15" x14ac:dyDescent="0.2">
      <c r="B35" s="154" t="s">
        <v>196</v>
      </c>
      <c r="C35" s="88" t="s">
        <v>99</v>
      </c>
      <c r="D35" s="88"/>
      <c r="E35" s="88" t="s">
        <v>99</v>
      </c>
      <c r="F35" s="89" t="s">
        <v>222</v>
      </c>
      <c r="G35" s="395">
        <f>LOSL.Tox!G33+'Drum - Prod.Tox'!G28</f>
        <v>4.2573305148213455E-4</v>
      </c>
      <c r="H35" s="406">
        <f t="shared" si="3"/>
        <v>1.8647107654917493E-3</v>
      </c>
      <c r="I35" s="407">
        <f t="shared" si="4"/>
        <v>7.9714256559514877E-4</v>
      </c>
      <c r="J35" s="165">
        <f t="shared" si="0"/>
        <v>4.2573305148213455E-4</v>
      </c>
      <c r="K35" s="198">
        <f t="shared" si="1"/>
        <v>1.8647107654917493E-3</v>
      </c>
      <c r="L35" s="170">
        <f t="shared" si="5"/>
        <v>7.9714256559514877E-4</v>
      </c>
      <c r="M35" s="276" t="str">
        <f t="shared" si="2"/>
        <v/>
      </c>
      <c r="N35" s="279"/>
      <c r="O35" s="278" t="str">
        <f t="shared" si="6"/>
        <v/>
      </c>
    </row>
    <row r="36" spans="2:15" x14ac:dyDescent="0.2">
      <c r="B36" s="154" t="s">
        <v>349</v>
      </c>
      <c r="C36" s="88" t="s">
        <v>99</v>
      </c>
      <c r="D36" s="88" t="s">
        <v>99</v>
      </c>
      <c r="E36" s="88"/>
      <c r="F36" s="89" t="s">
        <v>345</v>
      </c>
      <c r="G36" s="395">
        <f>'Drum - Prod.Tox'!G29</f>
        <v>1.04E-5</v>
      </c>
      <c r="H36" s="406">
        <f t="shared" si="3"/>
        <v>4.5552E-5</v>
      </c>
      <c r="I36" s="407">
        <f t="shared" si="4"/>
        <v>1.9472960000000002E-5</v>
      </c>
      <c r="J36" s="165">
        <f t="shared" si="0"/>
        <v>1.04E-5</v>
      </c>
      <c r="K36" s="198">
        <f t="shared" si="1"/>
        <v>4.5552E-5</v>
      </c>
      <c r="L36" s="170">
        <f>IF(J36="","",J36*$B$6/2000)</f>
        <v>1.9472960000000002E-5</v>
      </c>
      <c r="M36" s="276">
        <f t="shared" si="2"/>
        <v>2.496E-4</v>
      </c>
      <c r="N36" s="279">
        <v>3.0000000000000001E-3</v>
      </c>
      <c r="O36" s="278" t="str">
        <f t="shared" si="6"/>
        <v>Y</v>
      </c>
    </row>
    <row r="37" spans="2:15" x14ac:dyDescent="0.2">
      <c r="B37" s="161" t="s">
        <v>295</v>
      </c>
      <c r="C37" s="138" t="s">
        <v>99</v>
      </c>
      <c r="D37" s="138" t="s">
        <v>99</v>
      </c>
      <c r="E37" s="138"/>
      <c r="F37" s="133" t="s">
        <v>296</v>
      </c>
      <c r="G37" s="395">
        <f>LOSL.Tox!G34</f>
        <v>1.8299372034128963E-3</v>
      </c>
      <c r="H37" s="406">
        <f t="shared" si="3"/>
        <v>8.0151249509484868E-3</v>
      </c>
      <c r="I37" s="407">
        <f t="shared" si="4"/>
        <v>3.4263744196703074E-3</v>
      </c>
      <c r="J37" s="165">
        <f t="shared" si="0"/>
        <v>1.8299372034128963E-3</v>
      </c>
      <c r="K37" s="198">
        <f t="shared" si="1"/>
        <v>8.0151249509484868E-3</v>
      </c>
      <c r="L37" s="170">
        <f t="shared" si="5"/>
        <v>3.4263744196703074E-3</v>
      </c>
      <c r="M37" s="276">
        <f t="shared" si="2"/>
        <v>4.3918492881909514E-2</v>
      </c>
      <c r="N37" s="277">
        <v>0.108</v>
      </c>
      <c r="O37" s="278" t="str">
        <f t="shared" si="6"/>
        <v>Y</v>
      </c>
    </row>
    <row r="38" spans="2:15" x14ac:dyDescent="0.2">
      <c r="B38" s="161" t="s">
        <v>269</v>
      </c>
      <c r="C38" s="138" t="s">
        <v>99</v>
      </c>
      <c r="D38" s="138"/>
      <c r="E38" s="138" t="s">
        <v>99</v>
      </c>
      <c r="F38" s="133" t="s">
        <v>270</v>
      </c>
      <c r="G38" s="395">
        <f>LOSL.Tox!G35</f>
        <v>5.0458680709329179E-7</v>
      </c>
      <c r="H38" s="406">
        <f t="shared" si="3"/>
        <v>2.2100902150686177E-6</v>
      </c>
      <c r="I38" s="407">
        <f t="shared" si="4"/>
        <v>9.4478833760147956E-7</v>
      </c>
      <c r="J38" s="165">
        <f t="shared" si="0"/>
        <v>5.0458680709329179E-7</v>
      </c>
      <c r="K38" s="198">
        <f t="shared" si="1"/>
        <v>2.2100902150686177E-6</v>
      </c>
      <c r="L38" s="170">
        <f t="shared" si="5"/>
        <v>9.4478833760147956E-7</v>
      </c>
      <c r="M38" s="276" t="str">
        <f t="shared" si="2"/>
        <v/>
      </c>
      <c r="N38" s="279"/>
      <c r="O38" s="278" t="str">
        <f t="shared" si="6"/>
        <v/>
      </c>
    </row>
    <row r="39" spans="2:15" x14ac:dyDescent="0.2">
      <c r="B39" s="154"/>
      <c r="C39" s="88" t="s">
        <v>99</v>
      </c>
      <c r="D39" s="88"/>
      <c r="E39" s="88"/>
      <c r="F39" s="89" t="s">
        <v>243</v>
      </c>
      <c r="G39" s="395">
        <f>'Drum - Prod.Tox'!G30</f>
        <v>3.1599999999999998E-8</v>
      </c>
      <c r="H39" s="406">
        <f t="shared" si="3"/>
        <v>1.38408E-7</v>
      </c>
      <c r="I39" s="407">
        <f t="shared" si="4"/>
        <v>5.9167839999999999E-8</v>
      </c>
      <c r="J39" s="165">
        <f t="shared" si="0"/>
        <v>3.1599999999999998E-8</v>
      </c>
      <c r="K39" s="198">
        <f t="shared" si="1"/>
        <v>1.38408E-7</v>
      </c>
      <c r="L39" s="170">
        <f t="shared" si="5"/>
        <v>5.9167839999999999E-8</v>
      </c>
      <c r="M39" s="276" t="str">
        <f t="shared" si="2"/>
        <v/>
      </c>
      <c r="N39" s="279"/>
      <c r="O39" s="278" t="str">
        <f t="shared" si="6"/>
        <v/>
      </c>
    </row>
    <row r="40" spans="2:15" x14ac:dyDescent="0.2">
      <c r="B40" s="161" t="s">
        <v>291</v>
      </c>
      <c r="C40" s="138" t="s">
        <v>99</v>
      </c>
      <c r="D40" s="138" t="s">
        <v>99</v>
      </c>
      <c r="E40" s="138"/>
      <c r="F40" s="133" t="s">
        <v>339</v>
      </c>
      <c r="G40" s="395">
        <f>LOSL.Tox!G31</f>
        <v>1.9848048276256203E-4</v>
      </c>
      <c r="H40" s="406">
        <f t="shared" si="3"/>
        <v>8.6934451450002166E-4</v>
      </c>
      <c r="I40" s="407">
        <f t="shared" si="4"/>
        <v>3.7163485592462114E-4</v>
      </c>
      <c r="J40" s="165">
        <f t="shared" si="0"/>
        <v>1.9848048276256203E-4</v>
      </c>
      <c r="K40" s="198">
        <f t="shared" si="1"/>
        <v>8.6934451450002166E-4</v>
      </c>
      <c r="L40" s="170">
        <f t="shared" si="5"/>
        <v>3.7163485592462114E-4</v>
      </c>
      <c r="M40" s="276">
        <f t="shared" si="2"/>
        <v>4.7635315863014888E-3</v>
      </c>
      <c r="N40" s="277">
        <v>316.8</v>
      </c>
      <c r="O40" s="278" t="str">
        <f t="shared" si="6"/>
        <v>Y</v>
      </c>
    </row>
    <row r="41" spans="2:15" x14ac:dyDescent="0.2">
      <c r="B41" s="161" t="s">
        <v>297</v>
      </c>
      <c r="C41" s="138" t="s">
        <v>99</v>
      </c>
      <c r="D41" s="138" t="s">
        <v>99</v>
      </c>
      <c r="E41" s="138"/>
      <c r="F41" s="133" t="s">
        <v>298</v>
      </c>
      <c r="G41" s="394">
        <f>LOSL.Tox!G36+'Drum - Prod.Tox'!G31</f>
        <v>0.10251039815201526</v>
      </c>
      <c r="H41" s="404">
        <f t="shared" si="3"/>
        <v>0.44899554390582685</v>
      </c>
      <c r="I41" s="405">
        <f t="shared" si="4"/>
        <v>0.1919404694998334</v>
      </c>
      <c r="J41" s="168">
        <f t="shared" si="0"/>
        <v>0.10251039815201526</v>
      </c>
      <c r="K41" s="197">
        <f t="shared" si="1"/>
        <v>0.44899554390582685</v>
      </c>
      <c r="L41" s="169">
        <f t="shared" si="5"/>
        <v>0.1919404694998334</v>
      </c>
      <c r="M41" s="276">
        <f t="shared" si="2"/>
        <v>2.4602495556483666</v>
      </c>
      <c r="N41" s="279">
        <v>52.2</v>
      </c>
      <c r="O41" s="278" t="str">
        <f t="shared" si="6"/>
        <v>Y</v>
      </c>
    </row>
    <row r="42" spans="2:15" x14ac:dyDescent="0.2">
      <c r="B42" s="154" t="s">
        <v>197</v>
      </c>
      <c r="C42" s="88" t="s">
        <v>99</v>
      </c>
      <c r="D42" s="88"/>
      <c r="E42" s="88" t="s">
        <v>99</v>
      </c>
      <c r="F42" s="89" t="s">
        <v>223</v>
      </c>
      <c r="G42" s="395">
        <f>LOSL.Tox!G37+'Drum - Prod.Tox'!G32</f>
        <v>4.6452097377280149E-4</v>
      </c>
      <c r="H42" s="406">
        <f t="shared" si="3"/>
        <v>2.0346018651248706E-3</v>
      </c>
      <c r="I42" s="407">
        <f t="shared" si="4"/>
        <v>8.6976907129219356E-4</v>
      </c>
      <c r="J42" s="165">
        <f t="shared" si="0"/>
        <v>4.6452097377280149E-4</v>
      </c>
      <c r="K42" s="198">
        <f t="shared" si="1"/>
        <v>2.0346018651248706E-3</v>
      </c>
      <c r="L42" s="170">
        <f t="shared" si="5"/>
        <v>8.6976907129219356E-4</v>
      </c>
      <c r="M42" s="276" t="str">
        <f t="shared" si="2"/>
        <v/>
      </c>
      <c r="N42" s="279"/>
      <c r="O42" s="278" t="str">
        <f t="shared" si="6"/>
        <v/>
      </c>
    </row>
    <row r="43" spans="2:15" x14ac:dyDescent="0.2">
      <c r="B43" s="154" t="s">
        <v>198</v>
      </c>
      <c r="C43" s="88" t="s">
        <v>99</v>
      </c>
      <c r="D43" s="88"/>
      <c r="E43" s="88" t="s">
        <v>99</v>
      </c>
      <c r="F43" s="89" t="s">
        <v>224</v>
      </c>
      <c r="G43" s="395">
        <f>LOSL.Tox!G38+'Drum - Prod.Tox'!G33</f>
        <v>6.4757987452245024E-3</v>
      </c>
      <c r="H43" s="406">
        <f t="shared" si="3"/>
        <v>2.8363998504083318E-2</v>
      </c>
      <c r="I43" s="407">
        <f t="shared" si="4"/>
        <v>1.2125285570558359E-2</v>
      </c>
      <c r="J43" s="165">
        <f t="shared" si="0"/>
        <v>6.4757987452245024E-3</v>
      </c>
      <c r="K43" s="197">
        <f t="shared" si="1"/>
        <v>2.8363998504083318E-2</v>
      </c>
      <c r="L43" s="169">
        <f t="shared" si="5"/>
        <v>1.2125285570558359E-2</v>
      </c>
      <c r="M43" s="276" t="str">
        <f t="shared" si="2"/>
        <v/>
      </c>
      <c r="N43" s="279"/>
      <c r="O43" s="278" t="str">
        <f t="shared" si="6"/>
        <v/>
      </c>
    </row>
    <row r="44" spans="2:15" x14ac:dyDescent="0.2">
      <c r="B44" s="154" t="s">
        <v>180</v>
      </c>
      <c r="C44" s="88" t="s">
        <v>99</v>
      </c>
      <c r="D44" s="88" t="s">
        <v>99</v>
      </c>
      <c r="E44" s="88"/>
      <c r="F44" s="89" t="s">
        <v>210</v>
      </c>
      <c r="G44" s="394">
        <f>LOSL.Tox!G39+'Drum - Prod.Tox'!G34</f>
        <v>1.2750992014466029</v>
      </c>
      <c r="H44" s="404">
        <f t="shared" si="3"/>
        <v>5.5849345023361208</v>
      </c>
      <c r="I44" s="405">
        <f t="shared" si="4"/>
        <v>2.3874957447886196</v>
      </c>
      <c r="J44" s="168">
        <f t="shared" si="0"/>
        <v>1.2750992014466029</v>
      </c>
      <c r="K44" s="197">
        <f t="shared" si="1"/>
        <v>5.5849345023361208</v>
      </c>
      <c r="L44" s="169">
        <f t="shared" si="5"/>
        <v>2.3874957447886196</v>
      </c>
      <c r="M44" s="276">
        <f t="shared" si="2"/>
        <v>30.60238083471847</v>
      </c>
      <c r="N44" s="279">
        <v>0.18</v>
      </c>
      <c r="O44" s="278" t="str">
        <f t="shared" si="6"/>
        <v>N</v>
      </c>
    </row>
    <row r="45" spans="2:15" x14ac:dyDescent="0.2">
      <c r="B45" s="154"/>
      <c r="C45" s="88" t="s">
        <v>99</v>
      </c>
      <c r="D45" s="88"/>
      <c r="E45" s="88"/>
      <c r="F45" s="89" t="s">
        <v>241</v>
      </c>
      <c r="G45" s="395">
        <f>'Drum - Prod.Tox'!G35</f>
        <v>1.5999999999999998E-8</v>
      </c>
      <c r="H45" s="406">
        <f t="shared" si="3"/>
        <v>7.007999999999999E-8</v>
      </c>
      <c r="I45" s="407">
        <f t="shared" si="4"/>
        <v>2.9958399999999998E-8</v>
      </c>
      <c r="J45" s="165">
        <f t="shared" si="0"/>
        <v>1.5999999999999998E-8</v>
      </c>
      <c r="K45" s="198">
        <f t="shared" si="1"/>
        <v>7.007999999999999E-8</v>
      </c>
      <c r="L45" s="170">
        <f t="shared" si="5"/>
        <v>2.9958399999999998E-8</v>
      </c>
      <c r="M45" s="276" t="str">
        <f t="shared" si="2"/>
        <v/>
      </c>
      <c r="N45" s="279"/>
      <c r="O45" s="278" t="str">
        <f t="shared" si="6"/>
        <v/>
      </c>
    </row>
    <row r="46" spans="2:15" x14ac:dyDescent="0.2">
      <c r="B46" s="161" t="s">
        <v>301</v>
      </c>
      <c r="C46" s="138" t="s">
        <v>99</v>
      </c>
      <c r="D46" s="138" t="s">
        <v>99</v>
      </c>
      <c r="E46" s="138"/>
      <c r="F46" s="133" t="s">
        <v>326</v>
      </c>
      <c r="G46" s="394">
        <f>LOSL.Tox!G40+'Drum - Prod.Tox'!G36</f>
        <v>0.37537004307082783</v>
      </c>
      <c r="H46" s="404">
        <f t="shared" si="3"/>
        <v>1.6441207886502258</v>
      </c>
      <c r="I46" s="405">
        <f t="shared" si="4"/>
        <v>0.70284286864581802</v>
      </c>
      <c r="J46" s="168">
        <f t="shared" si="0"/>
        <v>0.37537004307082783</v>
      </c>
      <c r="K46" s="197">
        <f t="shared" si="1"/>
        <v>1.6441207886502258</v>
      </c>
      <c r="L46" s="169">
        <f t="shared" si="5"/>
        <v>0.70284286864581802</v>
      </c>
      <c r="M46" s="276">
        <f t="shared" si="2"/>
        <v>9.0088810336998684</v>
      </c>
      <c r="N46" s="279">
        <v>10.8</v>
      </c>
      <c r="O46" s="278" t="str">
        <f t="shared" si="6"/>
        <v>Y</v>
      </c>
    </row>
    <row r="47" spans="2:15" x14ac:dyDescent="0.2">
      <c r="B47" s="155" t="s">
        <v>347</v>
      </c>
      <c r="C47" s="88" t="s">
        <v>99</v>
      </c>
      <c r="D47" s="88" t="s">
        <v>99</v>
      </c>
      <c r="E47" s="88"/>
      <c r="F47" s="89" t="s">
        <v>154</v>
      </c>
      <c r="G47" s="395">
        <f>'Drum - Prod.Tox'!G37</f>
        <v>1.7999999999999998E-4</v>
      </c>
      <c r="H47" s="406">
        <f t="shared" si="3"/>
        <v>7.8839999999999986E-4</v>
      </c>
      <c r="I47" s="407">
        <f t="shared" si="4"/>
        <v>3.3703200000000002E-4</v>
      </c>
      <c r="J47" s="165">
        <f t="shared" si="0"/>
        <v>1.7999999999999998E-4</v>
      </c>
      <c r="K47" s="198">
        <f t="shared" si="1"/>
        <v>7.8839999999999986E-4</v>
      </c>
      <c r="L47" s="170">
        <f t="shared" si="5"/>
        <v>3.3703200000000002E-4</v>
      </c>
      <c r="M47" s="276">
        <f t="shared" si="2"/>
        <v>4.3199999999999992E-3</v>
      </c>
      <c r="N47" s="279">
        <v>0.03</v>
      </c>
      <c r="O47" s="278" t="str">
        <f t="shared" si="6"/>
        <v>Y</v>
      </c>
    </row>
    <row r="48" spans="2:15" x14ac:dyDescent="0.2">
      <c r="B48" s="155" t="s">
        <v>471</v>
      </c>
      <c r="C48" s="88" t="s">
        <v>99</v>
      </c>
      <c r="D48" s="88" t="s">
        <v>99</v>
      </c>
      <c r="E48" s="88"/>
      <c r="F48" s="89" t="s">
        <v>470</v>
      </c>
      <c r="G48" s="395">
        <f>'Drum - Prod.Tox'!G38</f>
        <v>8.4000000000000005E-2</v>
      </c>
      <c r="H48" s="406">
        <f t="shared" si="3"/>
        <v>0.36792000000000002</v>
      </c>
      <c r="I48" s="407">
        <f t="shared" si="4"/>
        <v>0.15728160000000002</v>
      </c>
      <c r="J48" s="165">
        <f>IF(OR(IF(C48="X",1),IF(E48="X",1)),G48,"")</f>
        <v>8.4000000000000005E-2</v>
      </c>
      <c r="K48" s="198">
        <f>IF(J48="","",J48*8760/2000)</f>
        <v>0.36792000000000002</v>
      </c>
      <c r="L48" s="170">
        <f>IF(J48="","",J48*$B$6/2000)</f>
        <v>0.15728160000000002</v>
      </c>
      <c r="M48" s="276">
        <f t="shared" ref="M48:M71" si="7">IF(N48&lt;&gt;"",24*G48,"")</f>
        <v>2.016</v>
      </c>
      <c r="N48" s="279">
        <v>2.1</v>
      </c>
      <c r="O48" s="278" t="str">
        <f t="shared" si="6"/>
        <v>Y</v>
      </c>
    </row>
    <row r="49" spans="2:15" x14ac:dyDescent="0.2">
      <c r="B49" s="154" t="s">
        <v>199</v>
      </c>
      <c r="C49" s="88" t="s">
        <v>99</v>
      </c>
      <c r="D49" s="88"/>
      <c r="E49" s="88" t="s">
        <v>99</v>
      </c>
      <c r="F49" s="89" t="s">
        <v>225</v>
      </c>
      <c r="G49" s="395">
        <f>LOSL.Tox!G41+'Drum - Prod.Tox'!G39</f>
        <v>3.4409616198212081E-6</v>
      </c>
      <c r="H49" s="406">
        <f t="shared" si="3"/>
        <v>1.5071411894816893E-5</v>
      </c>
      <c r="I49" s="407">
        <f t="shared" si="4"/>
        <v>6.4428565369532302E-6</v>
      </c>
      <c r="J49" s="165">
        <f t="shared" si="0"/>
        <v>3.4409616198212081E-6</v>
      </c>
      <c r="K49" s="198">
        <f t="shared" si="1"/>
        <v>1.5071411894816893E-5</v>
      </c>
      <c r="L49" s="170">
        <f t="shared" si="5"/>
        <v>6.4428565369532302E-6</v>
      </c>
      <c r="M49" s="276" t="str">
        <f t="shared" si="7"/>
        <v/>
      </c>
      <c r="N49" s="279"/>
      <c r="O49" s="278" t="str">
        <f t="shared" si="6"/>
        <v/>
      </c>
    </row>
    <row r="50" spans="2:15" x14ac:dyDescent="0.2">
      <c r="B50" s="154" t="s">
        <v>422</v>
      </c>
      <c r="C50" s="88" t="s">
        <v>99</v>
      </c>
      <c r="D50" s="88" t="s">
        <v>99</v>
      </c>
      <c r="E50" s="88"/>
      <c r="F50" s="89" t="s">
        <v>423</v>
      </c>
      <c r="G50" s="395">
        <f>'Drum - Prod.Tox'!G41</f>
        <v>3.0800000000000003E-3</v>
      </c>
      <c r="H50" s="406">
        <f t="shared" si="3"/>
        <v>1.3490400000000001E-2</v>
      </c>
      <c r="I50" s="407">
        <f t="shared" si="4"/>
        <v>5.7669920000000012E-3</v>
      </c>
      <c r="J50" s="165">
        <f>IF(OR(IF(C50="X",1),IF(E50="X",1)),G50,"")</f>
        <v>3.0800000000000003E-3</v>
      </c>
      <c r="K50" s="198">
        <f t="shared" si="1"/>
        <v>1.3490400000000001E-2</v>
      </c>
      <c r="L50" s="170">
        <f>IF(J50="","",J50*$B$6/2000)</f>
        <v>5.7669920000000012E-3</v>
      </c>
      <c r="M50" s="276">
        <f t="shared" si="7"/>
        <v>7.3920000000000013E-2</v>
      </c>
      <c r="N50" s="279">
        <v>0.3</v>
      </c>
      <c r="O50" s="278" t="str">
        <f t="shared" si="6"/>
        <v>Y</v>
      </c>
    </row>
    <row r="51" spans="2:15" x14ac:dyDescent="0.2">
      <c r="B51" s="161" t="s">
        <v>318</v>
      </c>
      <c r="C51" s="138"/>
      <c r="D51" s="138" t="s">
        <v>99</v>
      </c>
      <c r="E51" s="138"/>
      <c r="F51" s="133" t="s">
        <v>338</v>
      </c>
      <c r="G51" s="395">
        <f>LOSL.Tox!G17+'Drum - Prod.Tox'!G42</f>
        <v>1.0716276766419015E-2</v>
      </c>
      <c r="H51" s="406">
        <f t="shared" si="3"/>
        <v>4.6937292236915291E-2</v>
      </c>
      <c r="I51" s="407">
        <f t="shared" si="4"/>
        <v>2.0065156617442965E-2</v>
      </c>
      <c r="J51" s="178" t="str">
        <f t="shared" si="0"/>
        <v/>
      </c>
      <c r="K51" s="199" t="str">
        <f t="shared" ref="K51:K71" si="8">IF(J51="","",J51*8760/2000)</f>
        <v/>
      </c>
      <c r="L51" s="180" t="str">
        <f>IF(J51="","",J51*$B$6/2000)</f>
        <v/>
      </c>
      <c r="M51" s="276">
        <f t="shared" si="7"/>
        <v>0.25719064239405637</v>
      </c>
      <c r="N51" s="279">
        <v>177</v>
      </c>
      <c r="O51" s="278" t="str">
        <f t="shared" si="6"/>
        <v>Y</v>
      </c>
    </row>
    <row r="52" spans="2:15" x14ac:dyDescent="0.2">
      <c r="B52" s="155" t="s">
        <v>177</v>
      </c>
      <c r="C52" s="88" t="s">
        <v>99</v>
      </c>
      <c r="D52" s="88" t="s">
        <v>99</v>
      </c>
      <c r="E52" s="88"/>
      <c r="F52" s="89" t="s">
        <v>159</v>
      </c>
      <c r="G52" s="395">
        <f>'Drum - Prod.Tox'!G43</f>
        <v>1.0400000000000001E-3</v>
      </c>
      <c r="H52" s="406">
        <f t="shared" si="3"/>
        <v>4.5552000000000006E-3</v>
      </c>
      <c r="I52" s="407">
        <f t="shared" si="4"/>
        <v>1.9472960000000003E-3</v>
      </c>
      <c r="J52" s="165">
        <f t="shared" si="0"/>
        <v>1.0400000000000001E-3</v>
      </c>
      <c r="K52" s="198">
        <f t="shared" si="8"/>
        <v>4.5552000000000006E-3</v>
      </c>
      <c r="L52" s="170">
        <f>IF(J52="","",J52*$B$6/2000)</f>
        <v>1.9472960000000003E-3</v>
      </c>
      <c r="M52" s="276">
        <f t="shared" si="7"/>
        <v>2.4960000000000003E-2</v>
      </c>
      <c r="N52" s="277">
        <v>3.0000000000000001E-3</v>
      </c>
      <c r="O52" s="278" t="str">
        <f t="shared" si="6"/>
        <v>N</v>
      </c>
    </row>
    <row r="53" spans="2:15" x14ac:dyDescent="0.2">
      <c r="B53" s="161" t="s">
        <v>286</v>
      </c>
      <c r="C53" s="138" t="s">
        <v>99</v>
      </c>
      <c r="D53" s="138" t="s">
        <v>99</v>
      </c>
      <c r="E53" s="138"/>
      <c r="F53" s="133" t="s">
        <v>337</v>
      </c>
      <c r="G53" s="395">
        <f>LOSL.Tox!G29</f>
        <v>3.98562644176737E-4</v>
      </c>
      <c r="H53" s="406">
        <f t="shared" si="3"/>
        <v>1.7457043814941081E-3</v>
      </c>
      <c r="I53" s="407">
        <f t="shared" si="4"/>
        <v>7.4626869495652236E-4</v>
      </c>
      <c r="J53" s="165">
        <f t="shared" ref="J53:J71" si="9">IF(OR(IF(C53="X",1),IF(E53="X",1)),G53,"")</f>
        <v>3.98562644176737E-4</v>
      </c>
      <c r="K53" s="198">
        <f t="shared" si="8"/>
        <v>1.7457043814941081E-3</v>
      </c>
      <c r="L53" s="170">
        <f t="shared" si="5"/>
        <v>7.4626869495652236E-4</v>
      </c>
      <c r="M53" s="276">
        <f t="shared" si="7"/>
        <v>9.565503460241688E-3</v>
      </c>
      <c r="N53" s="279">
        <v>1.2</v>
      </c>
      <c r="O53" s="278" t="str">
        <f t="shared" si="6"/>
        <v>Y</v>
      </c>
    </row>
    <row r="54" spans="2:15" x14ac:dyDescent="0.2">
      <c r="B54" s="161" t="s">
        <v>293</v>
      </c>
      <c r="C54" s="138" t="s">
        <v>99</v>
      </c>
      <c r="D54" s="138" t="s">
        <v>99</v>
      </c>
      <c r="E54" s="138"/>
      <c r="F54" s="133" t="s">
        <v>340</v>
      </c>
      <c r="G54" s="395">
        <f>LOSL.Tox!G32</f>
        <v>1.3707119475035712E-3</v>
      </c>
      <c r="H54" s="406">
        <f t="shared" si="3"/>
        <v>6.0037183300656414E-3</v>
      </c>
      <c r="I54" s="407">
        <f t="shared" si="4"/>
        <v>2.5665210505056869E-3</v>
      </c>
      <c r="J54" s="165">
        <f t="shared" si="9"/>
        <v>1.3707119475035712E-3</v>
      </c>
      <c r="K54" s="198">
        <f t="shared" si="8"/>
        <v>6.0037183300656414E-3</v>
      </c>
      <c r="L54" s="170">
        <f t="shared" si="5"/>
        <v>2.5665210505056869E-3</v>
      </c>
      <c r="M54" s="276">
        <f t="shared" si="7"/>
        <v>3.2897086740085707E-2</v>
      </c>
      <c r="N54" s="277">
        <v>6.18</v>
      </c>
      <c r="O54" s="278" t="str">
        <f t="shared" si="6"/>
        <v>Y</v>
      </c>
    </row>
    <row r="55" spans="2:15" x14ac:dyDescent="0.2">
      <c r="B55" s="161" t="s">
        <v>317</v>
      </c>
      <c r="C55" s="138" t="s">
        <v>99</v>
      </c>
      <c r="D55" s="138" t="s">
        <v>99</v>
      </c>
      <c r="E55" s="138"/>
      <c r="F55" s="94" t="s">
        <v>211</v>
      </c>
      <c r="G55" s="394">
        <f>'Drum - Prod.Tox'!G44</f>
        <v>1.9200000000000002E-2</v>
      </c>
      <c r="H55" s="404">
        <f t="shared" si="3"/>
        <v>8.4096000000000004E-2</v>
      </c>
      <c r="I55" s="405">
        <f t="shared" si="4"/>
        <v>3.5950080000000009E-2</v>
      </c>
      <c r="J55" s="168">
        <f t="shared" si="9"/>
        <v>1.9200000000000002E-2</v>
      </c>
      <c r="K55" s="197">
        <f t="shared" si="8"/>
        <v>8.4096000000000004E-2</v>
      </c>
      <c r="L55" s="169">
        <f t="shared" si="5"/>
        <v>3.5950080000000009E-2</v>
      </c>
      <c r="M55" s="276">
        <f t="shared" si="7"/>
        <v>0.46080000000000004</v>
      </c>
      <c r="N55" s="277">
        <v>114.6</v>
      </c>
      <c r="O55" s="278" t="str">
        <f t="shared" si="6"/>
        <v>Y</v>
      </c>
    </row>
    <row r="56" spans="2:15" x14ac:dyDescent="0.2">
      <c r="B56" s="161" t="s">
        <v>304</v>
      </c>
      <c r="C56" s="138" t="s">
        <v>99</v>
      </c>
      <c r="D56" s="138" t="s">
        <v>99</v>
      </c>
      <c r="E56" s="138"/>
      <c r="F56" s="133" t="s">
        <v>305</v>
      </c>
      <c r="G56" s="395">
        <f>LOSL.Tox!G43</f>
        <v>1.3161620224124046E-5</v>
      </c>
      <c r="H56" s="406">
        <f t="shared" si="3"/>
        <v>5.7647896581663329E-5</v>
      </c>
      <c r="I56" s="407">
        <f t="shared" si="4"/>
        <v>2.4643817707649863E-5</v>
      </c>
      <c r="J56" s="165">
        <f t="shared" si="9"/>
        <v>1.3161620224124046E-5</v>
      </c>
      <c r="K56" s="198">
        <f t="shared" si="8"/>
        <v>5.7647896581663329E-5</v>
      </c>
      <c r="L56" s="170">
        <f t="shared" si="5"/>
        <v>2.4643817707649863E-5</v>
      </c>
      <c r="M56" s="276">
        <f t="shared" si="7"/>
        <v>3.1587888537897712E-4</v>
      </c>
      <c r="N56" s="277">
        <v>105</v>
      </c>
      <c r="O56" s="278" t="str">
        <f t="shared" si="6"/>
        <v>Y</v>
      </c>
    </row>
    <row r="57" spans="2:15" x14ac:dyDescent="0.2">
      <c r="B57" s="154" t="s">
        <v>200</v>
      </c>
      <c r="C57" s="88" t="s">
        <v>99</v>
      </c>
      <c r="D57" s="88" t="s">
        <v>99</v>
      </c>
      <c r="E57" s="88" t="s">
        <v>99</v>
      </c>
      <c r="F57" s="89" t="s">
        <v>226</v>
      </c>
      <c r="G57" s="394">
        <f>LOSL.Tox!G44+'Drum - Prod.Tox'!G45</f>
        <v>0.26355299911032626</v>
      </c>
      <c r="H57" s="404">
        <f t="shared" si="3"/>
        <v>1.154362136103229</v>
      </c>
      <c r="I57" s="405">
        <f t="shared" si="4"/>
        <v>0.49347663553417492</v>
      </c>
      <c r="J57" s="168">
        <f t="shared" si="9"/>
        <v>0.26355299911032626</v>
      </c>
      <c r="K57" s="197">
        <f t="shared" si="8"/>
        <v>1.154362136103229</v>
      </c>
      <c r="L57" s="169">
        <f t="shared" si="5"/>
        <v>0.49347663553417492</v>
      </c>
      <c r="M57" s="276">
        <f t="shared" si="7"/>
        <v>6.3252719786478302</v>
      </c>
      <c r="N57" s="277">
        <v>15</v>
      </c>
      <c r="O57" s="278" t="str">
        <f t="shared" si="6"/>
        <v>Y</v>
      </c>
    </row>
    <row r="58" spans="2:15" x14ac:dyDescent="0.2">
      <c r="B58" s="155" t="s">
        <v>178</v>
      </c>
      <c r="C58" s="88" t="s">
        <v>99</v>
      </c>
      <c r="D58" s="88" t="s">
        <v>99</v>
      </c>
      <c r="E58" s="88"/>
      <c r="F58" s="89" t="s">
        <v>160</v>
      </c>
      <c r="G58" s="394">
        <f>'Drum - Prod.Tox'!G46</f>
        <v>2.52E-2</v>
      </c>
      <c r="H58" s="404">
        <f t="shared" si="3"/>
        <v>0.110376</v>
      </c>
      <c r="I58" s="405">
        <f t="shared" si="4"/>
        <v>4.7184480000000001E-2</v>
      </c>
      <c r="J58" s="165">
        <f>IF(OR(IF(C58="X",1),IF(E58="X",1)),G58,"")</f>
        <v>2.52E-2</v>
      </c>
      <c r="K58" s="198">
        <f t="shared" si="8"/>
        <v>0.110376</v>
      </c>
      <c r="L58" s="170">
        <f>IF(J58="","",J58*$B$6/2000)</f>
        <v>4.7184480000000001E-2</v>
      </c>
      <c r="M58" s="276">
        <f t="shared" si="7"/>
        <v>0.6048</v>
      </c>
      <c r="N58" s="277">
        <v>6.0000000000000001E-3</v>
      </c>
      <c r="O58" s="278" t="str">
        <f t="shared" si="6"/>
        <v>N</v>
      </c>
    </row>
    <row r="59" spans="2:15" x14ac:dyDescent="0.2">
      <c r="B59" s="161" t="s">
        <v>313</v>
      </c>
      <c r="C59" s="138" t="s">
        <v>99</v>
      </c>
      <c r="D59" s="138" t="s">
        <v>99</v>
      </c>
      <c r="E59" s="138"/>
      <c r="F59" s="133" t="s">
        <v>314</v>
      </c>
      <c r="G59" s="395">
        <f>LOSL.Tox!G45</f>
        <v>4.1094276902012231E-3</v>
      </c>
      <c r="H59" s="406">
        <f t="shared" si="3"/>
        <v>1.7999293283081357E-2</v>
      </c>
      <c r="I59" s="407">
        <f t="shared" si="4"/>
        <v>7.6944924071327709E-3</v>
      </c>
      <c r="J59" s="165">
        <f t="shared" si="9"/>
        <v>4.1094276902012231E-3</v>
      </c>
      <c r="K59" s="197">
        <f t="shared" si="8"/>
        <v>1.7999293283081357E-2</v>
      </c>
      <c r="L59" s="170">
        <f t="shared" si="5"/>
        <v>7.6944924071327709E-3</v>
      </c>
      <c r="M59" s="276">
        <f t="shared" si="7"/>
        <v>9.8626264564829355E-2</v>
      </c>
      <c r="N59" s="277">
        <v>52.2</v>
      </c>
      <c r="O59" s="278" t="str">
        <f t="shared" si="6"/>
        <v>Y</v>
      </c>
    </row>
    <row r="60" spans="2:15" x14ac:dyDescent="0.2">
      <c r="B60" s="161" t="s">
        <v>328</v>
      </c>
      <c r="C60" s="138" t="s">
        <v>99</v>
      </c>
      <c r="D60" s="138"/>
      <c r="E60" s="138" t="s">
        <v>99</v>
      </c>
      <c r="F60" s="133" t="s">
        <v>171</v>
      </c>
      <c r="G60" s="395">
        <f>LOSL.Tox!G46+'Drum - Prod.Tox'!G47</f>
        <v>6.3989172281910282E-5</v>
      </c>
      <c r="H60" s="406">
        <f t="shared" si="3"/>
        <v>2.8027257459476703E-4</v>
      </c>
      <c r="I60" s="407">
        <f t="shared" si="4"/>
        <v>1.1981332618064882E-4</v>
      </c>
      <c r="J60" s="165">
        <f t="shared" si="9"/>
        <v>6.3989172281910282E-5</v>
      </c>
      <c r="K60" s="198">
        <f t="shared" si="8"/>
        <v>2.8027257459476703E-4</v>
      </c>
      <c r="L60" s="170">
        <f t="shared" si="5"/>
        <v>1.1981332618064882E-4</v>
      </c>
      <c r="M60" s="276" t="str">
        <f t="shared" si="7"/>
        <v/>
      </c>
      <c r="N60" s="279"/>
      <c r="O60" s="278" t="str">
        <f t="shared" si="6"/>
        <v/>
      </c>
    </row>
    <row r="61" spans="2:15" x14ac:dyDescent="0.2">
      <c r="B61" s="154" t="s">
        <v>202</v>
      </c>
      <c r="C61" s="88" t="s">
        <v>99</v>
      </c>
      <c r="D61" s="88"/>
      <c r="E61" s="88" t="s">
        <v>99</v>
      </c>
      <c r="F61" s="89" t="s">
        <v>227</v>
      </c>
      <c r="G61" s="395">
        <f>LOSL.Tox!G47+'Drum - Prod.Tox'!G48</f>
        <v>1.2132638792002243E-2</v>
      </c>
      <c r="H61" s="406">
        <f t="shared" si="3"/>
        <v>5.3140957908969826E-2</v>
      </c>
      <c r="I61" s="407">
        <f t="shared" si="4"/>
        <v>2.2717152874145E-2</v>
      </c>
      <c r="J61" s="165">
        <f t="shared" si="9"/>
        <v>1.2132638792002243E-2</v>
      </c>
      <c r="K61" s="197">
        <f t="shared" si="8"/>
        <v>5.3140957908969826E-2</v>
      </c>
      <c r="L61" s="169">
        <f t="shared" si="5"/>
        <v>2.2717152874145E-2</v>
      </c>
      <c r="M61" s="276" t="str">
        <f t="shared" si="7"/>
        <v/>
      </c>
      <c r="N61" s="279"/>
      <c r="O61" s="278" t="str">
        <f t="shared" si="6"/>
        <v/>
      </c>
    </row>
    <row r="62" spans="2:15" x14ac:dyDescent="0.2">
      <c r="B62" s="161" t="s">
        <v>100</v>
      </c>
      <c r="C62" s="138" t="s">
        <v>99</v>
      </c>
      <c r="D62" s="138" t="s">
        <v>99</v>
      </c>
      <c r="E62" s="138"/>
      <c r="F62" s="133" t="s">
        <v>284</v>
      </c>
      <c r="G62" s="395">
        <f>LOSL.Tox!G48</f>
        <v>1.6092227901894169E-3</v>
      </c>
      <c r="H62" s="406">
        <f t="shared" si="3"/>
        <v>7.048395821029646E-3</v>
      </c>
      <c r="I62" s="407">
        <f t="shared" si="4"/>
        <v>3.0131087523506644E-3</v>
      </c>
      <c r="J62" s="165">
        <f t="shared" si="9"/>
        <v>1.6092227901894169E-3</v>
      </c>
      <c r="K62" s="198">
        <f t="shared" si="8"/>
        <v>7.048395821029646E-3</v>
      </c>
      <c r="L62" s="170">
        <f t="shared" si="5"/>
        <v>3.0131087523506644E-3</v>
      </c>
      <c r="M62" s="276">
        <f t="shared" si="7"/>
        <v>3.8621346964546006E-2</v>
      </c>
      <c r="N62" s="277">
        <v>2.2799999999999998</v>
      </c>
      <c r="O62" s="278" t="str">
        <f t="shared" si="6"/>
        <v>Y</v>
      </c>
    </row>
    <row r="63" spans="2:15" x14ac:dyDescent="0.2">
      <c r="B63" s="161"/>
      <c r="C63" s="138"/>
      <c r="D63" s="138" t="s">
        <v>99</v>
      </c>
      <c r="E63" s="138"/>
      <c r="F63" s="133" t="s">
        <v>468</v>
      </c>
      <c r="G63" s="395">
        <f>LOSL.Tox!G49+'Drum - Prod.Tox'!G49</f>
        <v>0.37360699310175061</v>
      </c>
      <c r="H63" s="406">
        <f t="shared" si="3"/>
        <v>1.6363986297856676</v>
      </c>
      <c r="I63" s="407">
        <f t="shared" si="4"/>
        <v>0.69954173388371788</v>
      </c>
      <c r="J63" s="165"/>
      <c r="K63" s="198"/>
      <c r="L63" s="170"/>
      <c r="M63" s="276">
        <f t="shared" si="7"/>
        <v>8.9665678344420137</v>
      </c>
      <c r="N63" s="277">
        <v>1.92</v>
      </c>
      <c r="O63" s="278" t="str">
        <f t="shared" si="6"/>
        <v>N</v>
      </c>
    </row>
    <row r="64" spans="2:15" x14ac:dyDescent="0.2">
      <c r="B64" s="154" t="s">
        <v>397</v>
      </c>
      <c r="C64" s="88" t="s">
        <v>99</v>
      </c>
      <c r="D64" s="88" t="s">
        <v>99</v>
      </c>
      <c r="E64" s="88"/>
      <c r="F64" s="89" t="s">
        <v>400</v>
      </c>
      <c r="G64" s="395">
        <f>'Drum - Prod.Tox'!G50</f>
        <v>5.1999999999999998E-2</v>
      </c>
      <c r="H64" s="406">
        <f t="shared" si="3"/>
        <v>0.22775999999999999</v>
      </c>
      <c r="I64" s="407">
        <f t="shared" si="4"/>
        <v>9.7364800000000001E-2</v>
      </c>
      <c r="J64" s="165">
        <f>IF(OR(IF(C64="X",1),IF(E64="X",1)),G64,"")</f>
        <v>5.1999999999999998E-2</v>
      </c>
      <c r="K64" s="198">
        <f t="shared" si="8"/>
        <v>0.22775999999999999</v>
      </c>
      <c r="L64" s="170">
        <f>IF(J64="","",J64*$B$6/2000)</f>
        <v>9.7364800000000001E-2</v>
      </c>
      <c r="M64" s="276">
        <f t="shared" si="7"/>
        <v>1.248</v>
      </c>
      <c r="N64" s="280" t="s">
        <v>342</v>
      </c>
      <c r="O64" s="278" t="str">
        <f>IF(AND(N64="+",ROUND(M64,3)&lt;&gt;0),"N",IF(N64&lt;&gt;"",IF(AND(ROUND(M64,3)=0,N64=0),"Y",IF(M64&gt;=N64,"N","Y")),""))</f>
        <v>N</v>
      </c>
    </row>
    <row r="65" spans="2:15" x14ac:dyDescent="0.2">
      <c r="B65" s="154" t="s">
        <v>203</v>
      </c>
      <c r="C65" s="88" t="s">
        <v>99</v>
      </c>
      <c r="D65" s="88"/>
      <c r="E65" s="88" t="s">
        <v>99</v>
      </c>
      <c r="F65" s="89" t="s">
        <v>228</v>
      </c>
      <c r="G65" s="395">
        <f>LOSL.Tox!G50+'Drum - Prod.Tox'!G51</f>
        <v>1.8514073501578149E-3</v>
      </c>
      <c r="H65" s="406">
        <f t="shared" si="3"/>
        <v>8.10916419369123E-3</v>
      </c>
      <c r="I65" s="407">
        <f t="shared" si="4"/>
        <v>3.4665751224354927E-3</v>
      </c>
      <c r="J65" s="165">
        <f t="shared" si="9"/>
        <v>1.8514073501578149E-3</v>
      </c>
      <c r="K65" s="198">
        <f t="shared" si="8"/>
        <v>8.10916419369123E-3</v>
      </c>
      <c r="L65" s="170">
        <f t="shared" si="5"/>
        <v>3.4665751224354927E-3</v>
      </c>
      <c r="M65" s="276" t="str">
        <f t="shared" si="7"/>
        <v/>
      </c>
      <c r="N65" s="279"/>
      <c r="O65" s="278" t="str">
        <f t="shared" si="6"/>
        <v/>
      </c>
    </row>
    <row r="66" spans="2:15" x14ac:dyDescent="0.2">
      <c r="B66" s="154" t="s">
        <v>398</v>
      </c>
      <c r="C66" s="88" t="s">
        <v>99</v>
      </c>
      <c r="D66" s="88" t="s">
        <v>99</v>
      </c>
      <c r="E66" s="88"/>
      <c r="F66" s="89" t="s">
        <v>401</v>
      </c>
      <c r="G66" s="395">
        <f>'Drum - Prod.Tox'!G52</f>
        <v>6.4000000000000001E-2</v>
      </c>
      <c r="H66" s="404">
        <f t="shared" si="3"/>
        <v>0.28032000000000001</v>
      </c>
      <c r="I66" s="405">
        <f t="shared" si="4"/>
        <v>0.1198336</v>
      </c>
      <c r="J66" s="165">
        <f>IF(OR(IF(C66="X",1),IF(E66="X",1)),G66,"")</f>
        <v>6.4000000000000001E-2</v>
      </c>
      <c r="K66" s="198">
        <f t="shared" si="8"/>
        <v>0.28032000000000001</v>
      </c>
      <c r="L66" s="170">
        <f>IF(J66="","",J66*$B$6/2000)</f>
        <v>0.1198336</v>
      </c>
      <c r="M66" s="276">
        <f t="shared" si="7"/>
        <v>1.536</v>
      </c>
      <c r="N66" s="279">
        <v>2.4E-2</v>
      </c>
      <c r="O66" s="278" t="str">
        <f t="shared" si="6"/>
        <v>N</v>
      </c>
    </row>
    <row r="67" spans="2:15" x14ac:dyDescent="0.2">
      <c r="B67" s="154" t="s">
        <v>348</v>
      </c>
      <c r="C67" s="88" t="s">
        <v>99</v>
      </c>
      <c r="D67" s="88" t="s">
        <v>99</v>
      </c>
      <c r="E67" s="88"/>
      <c r="F67" s="89" t="s">
        <v>346</v>
      </c>
      <c r="G67" s="395">
        <f>'Drum - Prod.Tox'!G53</f>
        <v>1.3999999999999999E-4</v>
      </c>
      <c r="H67" s="406">
        <f t="shared" si="3"/>
        <v>6.1319999999999994E-4</v>
      </c>
      <c r="I67" s="407">
        <f t="shared" si="4"/>
        <v>2.62136E-4</v>
      </c>
      <c r="J67" s="165">
        <f t="shared" si="9"/>
        <v>1.3999999999999999E-4</v>
      </c>
      <c r="K67" s="198">
        <f t="shared" si="8"/>
        <v>6.1319999999999994E-4</v>
      </c>
      <c r="L67" s="170">
        <f>IF(J67="","",J67*$B$6/2000)</f>
        <v>2.62136E-4</v>
      </c>
      <c r="M67" s="276">
        <f t="shared" si="7"/>
        <v>3.3599999999999997E-3</v>
      </c>
      <c r="N67" s="279">
        <v>1.2E-2</v>
      </c>
      <c r="O67" s="278" t="str">
        <f t="shared" si="6"/>
        <v>Y</v>
      </c>
    </row>
    <row r="68" spans="2:15" x14ac:dyDescent="0.2">
      <c r="B68" s="161" t="s">
        <v>306</v>
      </c>
      <c r="C68" s="138" t="s">
        <v>99</v>
      </c>
      <c r="D68" s="138" t="s">
        <v>99</v>
      </c>
      <c r="E68" s="138"/>
      <c r="F68" s="133" t="s">
        <v>307</v>
      </c>
      <c r="G68" s="395">
        <f>LOSL.Tox!G51</f>
        <v>3.8467369161806402E-4</v>
      </c>
      <c r="H68" s="406">
        <f t="shared" si="3"/>
        <v>1.6848707692871203E-3</v>
      </c>
      <c r="I68" s="407">
        <f t="shared" si="4"/>
        <v>7.202630201856631E-4</v>
      </c>
      <c r="J68" s="165">
        <f t="shared" si="9"/>
        <v>3.8467369161806402E-4</v>
      </c>
      <c r="K68" s="198">
        <f t="shared" si="8"/>
        <v>1.6848707692871203E-3</v>
      </c>
      <c r="L68" s="170">
        <f t="shared" si="5"/>
        <v>7.202630201856631E-4</v>
      </c>
      <c r="M68" s="276">
        <f t="shared" si="7"/>
        <v>9.2321685988335372E-3</v>
      </c>
      <c r="N68" s="279">
        <v>63.9</v>
      </c>
      <c r="O68" s="278" t="str">
        <f t="shared" si="6"/>
        <v>Y</v>
      </c>
    </row>
    <row r="69" spans="2:15" x14ac:dyDescent="0.2">
      <c r="B69" s="162" t="s">
        <v>308</v>
      </c>
      <c r="C69" s="138" t="s">
        <v>99</v>
      </c>
      <c r="D69" s="138" t="s">
        <v>99</v>
      </c>
      <c r="E69" s="138"/>
      <c r="F69" s="133" t="s">
        <v>309</v>
      </c>
      <c r="G69" s="395">
        <f>LOSL.Tox!G52</f>
        <v>1.2809560423890275E-4</v>
      </c>
      <c r="H69" s="406">
        <f t="shared" si="3"/>
        <v>5.6105874656639412E-4</v>
      </c>
      <c r="I69" s="407">
        <f t="shared" si="4"/>
        <v>2.3984620937692153E-4</v>
      </c>
      <c r="J69" s="165">
        <f t="shared" si="9"/>
        <v>1.2809560423890275E-4</v>
      </c>
      <c r="K69" s="198">
        <f t="shared" si="8"/>
        <v>5.6105874656639412E-4</v>
      </c>
      <c r="L69" s="170">
        <f t="shared" si="5"/>
        <v>2.3984620937692153E-4</v>
      </c>
      <c r="M69" s="276">
        <f t="shared" si="7"/>
        <v>3.0742945017336659E-3</v>
      </c>
      <c r="N69" s="279">
        <v>40.200000000000003</v>
      </c>
      <c r="O69" s="278" t="str">
        <f t="shared" si="6"/>
        <v>Y</v>
      </c>
    </row>
    <row r="70" spans="2:15" x14ac:dyDescent="0.2">
      <c r="B70" s="161" t="s">
        <v>310</v>
      </c>
      <c r="C70" s="138" t="s">
        <v>99</v>
      </c>
      <c r="D70" s="138" t="s">
        <v>99</v>
      </c>
      <c r="E70" s="138"/>
      <c r="F70" s="133" t="s">
        <v>311</v>
      </c>
      <c r="G70" s="394">
        <f>LOSL.Tox!G53+'Drum - Prod.Tox'!G54</f>
        <v>1.1665158144566341</v>
      </c>
      <c r="H70" s="404">
        <f t="shared" si="3"/>
        <v>5.1093392673200571</v>
      </c>
      <c r="I70" s="405">
        <f t="shared" si="4"/>
        <v>2.1841842109886018</v>
      </c>
      <c r="J70" s="168">
        <f t="shared" si="9"/>
        <v>1.1665158144566341</v>
      </c>
      <c r="K70" s="197">
        <f t="shared" si="8"/>
        <v>5.1093392673200571</v>
      </c>
      <c r="L70" s="169">
        <f t="shared" si="5"/>
        <v>2.1841842109886018</v>
      </c>
      <c r="M70" s="276">
        <f t="shared" si="7"/>
        <v>27.996379546959218</v>
      </c>
      <c r="N70" s="277">
        <v>24</v>
      </c>
      <c r="O70" s="278" t="str">
        <f t="shared" si="6"/>
        <v>N</v>
      </c>
    </row>
    <row r="71" spans="2:15" ht="13.5" thickBot="1" x14ac:dyDescent="0.25">
      <c r="B71" s="163" t="s">
        <v>312</v>
      </c>
      <c r="C71" s="140" t="s">
        <v>99</v>
      </c>
      <c r="D71" s="140" t="s">
        <v>99</v>
      </c>
      <c r="E71" s="140"/>
      <c r="F71" s="134" t="s">
        <v>327</v>
      </c>
      <c r="G71" s="396">
        <f>LOSL.Tox!G54+'Drum - Prod.Tox'!G55</f>
        <v>9.6570023345068576E-2</v>
      </c>
      <c r="H71" s="408">
        <f t="shared" si="3"/>
        <v>0.42297670225140033</v>
      </c>
      <c r="I71" s="409">
        <f t="shared" si="4"/>
        <v>0.18081771171130639</v>
      </c>
      <c r="J71" s="333">
        <f t="shared" si="9"/>
        <v>9.6570023345068576E-2</v>
      </c>
      <c r="K71" s="200">
        <f t="shared" si="8"/>
        <v>0.42297670225140033</v>
      </c>
      <c r="L71" s="171">
        <f t="shared" si="5"/>
        <v>0.18081771171130639</v>
      </c>
      <c r="M71" s="281">
        <f t="shared" si="7"/>
        <v>2.3176805602816457</v>
      </c>
      <c r="N71" s="282">
        <v>52.2</v>
      </c>
      <c r="O71" s="283" t="str">
        <f t="shared" si="6"/>
        <v>Y</v>
      </c>
    </row>
    <row r="72" spans="2:15" ht="13.5" thickTop="1" x14ac:dyDescent="0.2">
      <c r="G72" s="209"/>
      <c r="H72" s="259"/>
      <c r="I72" s="398" t="s">
        <v>490</v>
      </c>
      <c r="J72" s="399">
        <f>SUM(J16:J71)-J17</f>
        <v>4.3570194208887676</v>
      </c>
      <c r="K72" s="12">
        <f>SUM(K16:K71)-K17</f>
        <v>19.083745063492799</v>
      </c>
      <c r="L72" s="335">
        <f>SUM(L16:L71)-L17</f>
        <v>8.1580831636721296</v>
      </c>
      <c r="M72" s="5"/>
      <c r="N72" s="181"/>
      <c r="O72" s="181"/>
    </row>
    <row r="73" spans="2:15" ht="13.5" thickBot="1" x14ac:dyDescent="0.25">
      <c r="G73" s="181"/>
      <c r="H73" s="397"/>
      <c r="I73" s="626" t="s">
        <v>335</v>
      </c>
      <c r="J73" s="627"/>
      <c r="K73" s="203" t="str">
        <f>IF(COUNTIF(K16:K71,"&gt;=10"),"Y","N")</f>
        <v>N</v>
      </c>
      <c r="L73" s="204" t="str">
        <f>IF(COUNTIF(L16:L71,"&gt;=10"),"Y","N")</f>
        <v>N</v>
      </c>
      <c r="M73" s="5"/>
      <c r="N73" s="181"/>
      <c r="O73" s="181"/>
    </row>
    <row r="74" spans="2:15" ht="13.5" thickTop="1" x14ac:dyDescent="0.2">
      <c r="K74" s="65"/>
      <c r="L74" s="84"/>
      <c r="M74" s="336"/>
      <c r="N74" s="337"/>
      <c r="O74" s="338"/>
    </row>
    <row r="75" spans="2:15" x14ac:dyDescent="0.2">
      <c r="J75" s="205"/>
    </row>
    <row r="77" spans="2:15" x14ac:dyDescent="0.2">
      <c r="G77" s="205"/>
      <c r="H77" s="205"/>
      <c r="I77" s="205"/>
    </row>
    <row r="78" spans="2:15" x14ac:dyDescent="0.2">
      <c r="G78" s="206"/>
      <c r="H78" s="206"/>
      <c r="I78" s="206"/>
      <c r="J78" s="206"/>
      <c r="K78" s="206"/>
    </row>
    <row r="79" spans="2:15" x14ac:dyDescent="0.2">
      <c r="G79" s="206"/>
      <c r="H79" s="206"/>
      <c r="I79" s="206"/>
      <c r="J79" s="207"/>
      <c r="K79" s="207"/>
    </row>
  </sheetData>
  <mergeCells count="18">
    <mergeCell ref="A1:O1"/>
    <mergeCell ref="A2:O2"/>
    <mergeCell ref="I73:J73"/>
    <mergeCell ref="F13:F15"/>
    <mergeCell ref="M13:M14"/>
    <mergeCell ref="B12:I12"/>
    <mergeCell ref="G13:I13"/>
    <mergeCell ref="G14:G15"/>
    <mergeCell ref="N13:O14"/>
    <mergeCell ref="M12:O12"/>
    <mergeCell ref="A3:O3"/>
    <mergeCell ref="J13:L13"/>
    <mergeCell ref="J12:L12"/>
    <mergeCell ref="J14:J15"/>
    <mergeCell ref="B13:B15"/>
    <mergeCell ref="C13:C15"/>
    <mergeCell ref="D13:D15"/>
    <mergeCell ref="E13:E15"/>
  </mergeCells>
  <phoneticPr fontId="3" type="noConversion"/>
  <pageMargins left="0.75" right="0.75" top="1" bottom="1" header="0.5" footer="0.5"/>
  <pageSetup scale="56" orientation="portrait" r:id="rId1"/>
  <headerFooter alignWithMargins="0">
    <oddHeader>&amp;ROutput - Drum.Toxics - &amp;D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C241-0942-453D-9C5E-3EFC1282F002}">
  <sheetPr codeName="Sheet11">
    <tabColor indexed="12"/>
  </sheetPr>
  <dimension ref="A1:Q71"/>
  <sheetViews>
    <sheetView zoomScaleNormal="100" workbookViewId="0">
      <selection activeCell="A3" sqref="A3:O3"/>
    </sheetView>
  </sheetViews>
  <sheetFormatPr defaultRowHeight="12.75" x14ac:dyDescent="0.2"/>
  <cols>
    <col min="2" max="2" width="10" customWidth="1"/>
    <col min="3" max="3" width="4.85546875" bestFit="1" customWidth="1"/>
    <col min="4" max="4" width="4.7109375" customWidth="1"/>
    <col min="5" max="5" width="5.28515625" bestFit="1" customWidth="1"/>
    <col min="6" max="6" width="21.42578125" bestFit="1" customWidth="1"/>
    <col min="7" max="7" width="13.42578125" bestFit="1" customWidth="1"/>
    <col min="8" max="9" width="13.42578125" customWidth="1"/>
    <col min="10" max="10" width="14.42578125" bestFit="1" customWidth="1"/>
    <col min="11" max="11" width="12.5703125" bestFit="1" customWidth="1"/>
    <col min="12" max="12" width="11" customWidth="1"/>
    <col min="13" max="13" width="13.42578125" bestFit="1" customWidth="1"/>
    <col min="14" max="14" width="8" customWidth="1"/>
    <col min="15" max="15" width="8.42578125" bestFit="1" customWidth="1"/>
  </cols>
  <sheetData>
    <row r="1" spans="1:17" ht="20.25" x14ac:dyDescent="0.3">
      <c r="A1" s="598" t="s">
        <v>509</v>
      </c>
      <c r="B1" s="598"/>
      <c r="C1" s="598"/>
      <c r="D1" s="598"/>
      <c r="E1" s="598"/>
      <c r="F1" s="598"/>
      <c r="G1" s="598"/>
      <c r="H1" s="598"/>
      <c r="I1" s="598"/>
      <c r="J1" s="598"/>
      <c r="K1" s="598"/>
      <c r="L1" s="598"/>
      <c r="M1" s="598"/>
      <c r="N1" s="598"/>
      <c r="O1" s="598"/>
      <c r="P1" s="466"/>
      <c r="Q1" s="466"/>
    </row>
    <row r="2" spans="1:17" x14ac:dyDescent="0.2">
      <c r="A2" s="599">
        <v>40834</v>
      </c>
      <c r="B2" s="599"/>
      <c r="C2" s="599"/>
      <c r="D2" s="599"/>
      <c r="E2" s="599"/>
      <c r="F2" s="599"/>
      <c r="G2" s="599"/>
      <c r="H2" s="599"/>
      <c r="I2" s="599"/>
      <c r="J2" s="599"/>
      <c r="K2" s="599"/>
      <c r="L2" s="599"/>
      <c r="M2" s="599"/>
      <c r="N2" s="599"/>
      <c r="O2" s="599"/>
      <c r="P2" s="467"/>
      <c r="Q2" s="467"/>
    </row>
    <row r="3" spans="1:17" ht="26.25" customHeight="1" x14ac:dyDescent="0.2">
      <c r="A3" s="606" t="s">
        <v>522</v>
      </c>
      <c r="B3" s="606"/>
      <c r="C3" s="606"/>
      <c r="D3" s="606"/>
      <c r="E3" s="606"/>
      <c r="F3" s="606"/>
      <c r="G3" s="606"/>
      <c r="H3" s="606"/>
      <c r="I3" s="606"/>
      <c r="J3" s="606"/>
      <c r="K3" s="606"/>
      <c r="L3" s="606"/>
      <c r="M3" s="606"/>
      <c r="N3" s="606"/>
      <c r="O3" s="606"/>
      <c r="P3" s="467"/>
      <c r="Q3" s="467"/>
    </row>
    <row r="5" spans="1:17" x14ac:dyDescent="0.2">
      <c r="B5" t="s">
        <v>336</v>
      </c>
    </row>
    <row r="6" spans="1:17" x14ac:dyDescent="0.2">
      <c r="B6" s="226">
        <f>Inputs!B76</f>
        <v>3744.8</v>
      </c>
      <c r="C6" t="s">
        <v>389</v>
      </c>
      <c r="I6" s="146" t="s">
        <v>255</v>
      </c>
    </row>
    <row r="7" spans="1:17" x14ac:dyDescent="0.2">
      <c r="B7" s="226"/>
      <c r="I7" s="3" t="s">
        <v>22</v>
      </c>
    </row>
    <row r="8" spans="1:17" x14ac:dyDescent="0.2">
      <c r="A8" s="2"/>
      <c r="I8" t="s">
        <v>331</v>
      </c>
    </row>
    <row r="9" spans="1:17" x14ac:dyDescent="0.2">
      <c r="A9" s="46"/>
      <c r="I9" t="s">
        <v>343</v>
      </c>
    </row>
    <row r="10" spans="1:17" x14ac:dyDescent="0.2">
      <c r="B10" s="330" t="str">
        <f>IF(Inputs!$B$79=1,"DO NOT USE THESE, YOU SPECIFIED DRUM MIX IN THE INPUTS!","")</f>
        <v>DO NOT USE THESE, YOU SPECIFIED DRUM MIX IN THE INPUTS!</v>
      </c>
      <c r="I10" t="s">
        <v>355</v>
      </c>
    </row>
    <row r="11" spans="1:17" ht="13.5" thickBot="1" x14ac:dyDescent="0.25"/>
    <row r="12" spans="1:17" ht="14.25" thickTop="1" thickBot="1" x14ac:dyDescent="0.25">
      <c r="B12" s="637" t="s">
        <v>334</v>
      </c>
      <c r="C12" s="638"/>
      <c r="D12" s="638"/>
      <c r="E12" s="638"/>
      <c r="F12" s="638"/>
      <c r="G12" s="639"/>
      <c r="H12" s="172"/>
      <c r="I12" s="172"/>
      <c r="J12" s="610" t="s">
        <v>333</v>
      </c>
      <c r="K12" s="611"/>
      <c r="L12" s="612"/>
      <c r="M12" s="610" t="s">
        <v>359</v>
      </c>
      <c r="N12" s="611"/>
      <c r="O12" s="636"/>
    </row>
    <row r="13" spans="1:17" x14ac:dyDescent="0.2">
      <c r="B13" s="615" t="s">
        <v>75</v>
      </c>
      <c r="C13" s="617" t="s">
        <v>78</v>
      </c>
      <c r="D13" s="620" t="s">
        <v>79</v>
      </c>
      <c r="E13" s="623" t="s">
        <v>169</v>
      </c>
      <c r="F13" s="628" t="s">
        <v>4</v>
      </c>
      <c r="G13" s="607" t="s">
        <v>248</v>
      </c>
      <c r="H13" s="608"/>
      <c r="I13" s="609"/>
      <c r="J13" s="607" t="s">
        <v>248</v>
      </c>
      <c r="K13" s="608"/>
      <c r="L13" s="609"/>
      <c r="M13" s="628" t="s">
        <v>315</v>
      </c>
      <c r="N13" s="632" t="s">
        <v>360</v>
      </c>
      <c r="O13" s="633"/>
    </row>
    <row r="14" spans="1:17" ht="13.5" thickBot="1" x14ac:dyDescent="0.25">
      <c r="B14" s="616"/>
      <c r="C14" s="618"/>
      <c r="D14" s="621"/>
      <c r="E14" s="624"/>
      <c r="F14" s="629"/>
      <c r="G14" s="613" t="s">
        <v>9</v>
      </c>
      <c r="H14" s="193" t="s">
        <v>357</v>
      </c>
      <c r="I14" s="194" t="s">
        <v>358</v>
      </c>
      <c r="J14" s="613" t="s">
        <v>9</v>
      </c>
      <c r="K14" s="193" t="s">
        <v>357</v>
      </c>
      <c r="L14" s="194" t="s">
        <v>358</v>
      </c>
      <c r="M14" s="630"/>
      <c r="N14" s="634"/>
      <c r="O14" s="635"/>
    </row>
    <row r="15" spans="1:17" ht="13.5" thickBot="1" x14ac:dyDescent="0.25">
      <c r="B15" s="605"/>
      <c r="C15" s="619"/>
      <c r="D15" s="622"/>
      <c r="E15" s="625"/>
      <c r="F15" s="630"/>
      <c r="G15" s="614"/>
      <c r="H15" s="195" t="s">
        <v>10</v>
      </c>
      <c r="I15" s="22" t="s">
        <v>356</v>
      </c>
      <c r="J15" s="614"/>
      <c r="K15" s="195" t="s">
        <v>10</v>
      </c>
      <c r="L15" s="22" t="s">
        <v>356</v>
      </c>
      <c r="M15" s="164" t="s">
        <v>231</v>
      </c>
      <c r="N15" s="8" t="s">
        <v>231</v>
      </c>
      <c r="O15" s="10" t="s">
        <v>332</v>
      </c>
    </row>
    <row r="16" spans="1:17" x14ac:dyDescent="0.2">
      <c r="B16" s="271" t="s">
        <v>302</v>
      </c>
      <c r="C16" s="272" t="s">
        <v>99</v>
      </c>
      <c r="D16" s="272" t="s">
        <v>99</v>
      </c>
      <c r="E16" s="272"/>
      <c r="F16" s="192" t="s">
        <v>341</v>
      </c>
      <c r="G16" s="392">
        <f>LOSL.Tox!G42</f>
        <v>4.505591685189554E-5</v>
      </c>
      <c r="H16" s="392">
        <f>G16*8760/2000</f>
        <v>1.9734491581130248E-4</v>
      </c>
      <c r="I16" s="468">
        <f>G16*$B$6/2000</f>
        <v>8.436269871348921E-5</v>
      </c>
      <c r="J16" s="179">
        <f>IF(OR(IF(C16="X",1),IF(E16="X",1)),G16,"")</f>
        <v>4.505591685189554E-5</v>
      </c>
      <c r="K16" s="196">
        <f t="shared" ref="K16:K63" si="0">IF(J16="","",J16*8760/2000)</f>
        <v>1.9734491581130248E-4</v>
      </c>
      <c r="L16" s="170">
        <f>IF(J16="","",J16*$B$6/2000)</f>
        <v>8.436269871348921E-5</v>
      </c>
      <c r="M16" s="273">
        <f>IF(N16&lt;&gt;"",G16*24,"")</f>
        <v>1.0813420044454929E-3</v>
      </c>
      <c r="N16" s="274">
        <v>105</v>
      </c>
      <c r="O16" s="275" t="str">
        <f t="shared" ref="O16:O30" si="1">IF(N16&lt;&gt;"",IF(AND(ROUND(M16,3)=0,N16=0),"Y",IF(M16&gt;=N16,"N","Y")),"")</f>
        <v>Y</v>
      </c>
    </row>
    <row r="17" spans="2:15" x14ac:dyDescent="0.2">
      <c r="B17" s="161" t="s">
        <v>428</v>
      </c>
      <c r="C17" s="269" t="s">
        <v>99</v>
      </c>
      <c r="D17" s="269"/>
      <c r="E17" s="269" t="s">
        <v>99</v>
      </c>
      <c r="F17" s="133" t="s">
        <v>212</v>
      </c>
      <c r="G17" s="395">
        <f>LOSL.Tox!G18+'Batch - Prod.Tox'!G11</f>
        <v>3.6997706544555108E-2</v>
      </c>
      <c r="H17" s="395">
        <f t="shared" ref="H17:H63" si="2">G17*8760/2000</f>
        <v>0.16204995466515137</v>
      </c>
      <c r="I17" s="166">
        <f t="shared" ref="I17:I63" si="3">G17*$B$6/2000</f>
        <v>6.927450573402498E-2</v>
      </c>
      <c r="J17" s="165">
        <f t="shared" ref="J17:J63" si="4">IF(OR(IF(C17="X",1),IF(E17="X",1)),G17,"")</f>
        <v>3.6997706544555108E-2</v>
      </c>
      <c r="K17" s="197">
        <f t="shared" si="0"/>
        <v>0.16204995466515137</v>
      </c>
      <c r="L17" s="169">
        <f t="shared" ref="L17:L63" si="5">IF(J17="","",J17*$B$6/2000)</f>
        <v>6.927450573402498E-2</v>
      </c>
      <c r="M17" s="276" t="str">
        <f t="shared" ref="M17:M63" si="6">IF(N17&lt;&gt;"",G17*24,"")</f>
        <v/>
      </c>
      <c r="N17" s="279"/>
      <c r="O17" s="278" t="str">
        <f t="shared" si="1"/>
        <v/>
      </c>
    </row>
    <row r="18" spans="2:15" x14ac:dyDescent="0.2">
      <c r="B18" s="161" t="s">
        <v>429</v>
      </c>
      <c r="C18" s="269" t="s">
        <v>99</v>
      </c>
      <c r="D18" s="269"/>
      <c r="E18" s="269" t="s">
        <v>99</v>
      </c>
      <c r="F18" s="133" t="s">
        <v>213</v>
      </c>
      <c r="G18" s="395">
        <f>LOSL.Tox!G19+'Batch - Prod.Tox'!G12</f>
        <v>1.1918863576402918E-3</v>
      </c>
      <c r="H18" s="395">
        <f t="shared" si="2"/>
        <v>5.2204622464644785E-3</v>
      </c>
      <c r="I18" s="166">
        <f t="shared" si="3"/>
        <v>2.2316880160456825E-3</v>
      </c>
      <c r="J18" s="165">
        <f t="shared" si="4"/>
        <v>1.1918863576402918E-3</v>
      </c>
      <c r="K18" s="198">
        <f t="shared" si="0"/>
        <v>5.2204622464644785E-3</v>
      </c>
      <c r="L18" s="170">
        <f t="shared" si="5"/>
        <v>2.2316880160456825E-3</v>
      </c>
      <c r="M18" s="276" t="str">
        <f t="shared" si="6"/>
        <v/>
      </c>
      <c r="N18" s="279"/>
      <c r="O18" s="278" t="str">
        <f t="shared" si="1"/>
        <v/>
      </c>
    </row>
    <row r="19" spans="2:15" x14ac:dyDescent="0.2">
      <c r="B19" s="161" t="s">
        <v>430</v>
      </c>
      <c r="C19" s="269" t="s">
        <v>99</v>
      </c>
      <c r="D19" s="269"/>
      <c r="E19" s="269" t="s">
        <v>99</v>
      </c>
      <c r="F19" s="133" t="s">
        <v>214</v>
      </c>
      <c r="G19" s="395">
        <f>LOSL.Tox!G20+'Batch - Prod.Tox'!G13</f>
        <v>2.8440274718864202E-4</v>
      </c>
      <c r="H19" s="395">
        <f t="shared" si="2"/>
        <v>1.2456840326862519E-3</v>
      </c>
      <c r="I19" s="166">
        <f t="shared" si="3"/>
        <v>5.3251570383601335E-4</v>
      </c>
      <c r="J19" s="165">
        <f t="shared" si="4"/>
        <v>2.8440274718864202E-4</v>
      </c>
      <c r="K19" s="198">
        <f t="shared" si="0"/>
        <v>1.2456840326862519E-3</v>
      </c>
      <c r="L19" s="170">
        <f t="shared" si="5"/>
        <v>5.3251570383601335E-4</v>
      </c>
      <c r="M19" s="276" t="str">
        <f t="shared" si="6"/>
        <v/>
      </c>
      <c r="N19" s="279"/>
      <c r="O19" s="278" t="str">
        <f t="shared" si="1"/>
        <v/>
      </c>
    </row>
    <row r="20" spans="2:15" x14ac:dyDescent="0.2">
      <c r="B20" s="161" t="s">
        <v>395</v>
      </c>
      <c r="C20" s="269" t="s">
        <v>99</v>
      </c>
      <c r="D20" s="269" t="s">
        <v>99</v>
      </c>
      <c r="E20" s="269"/>
      <c r="F20" s="133" t="s">
        <v>402</v>
      </c>
      <c r="G20" s="395">
        <f>'Batch - Prod.Tox'!G14</f>
        <v>0.128</v>
      </c>
      <c r="H20" s="395">
        <f t="shared" si="2"/>
        <v>0.56064000000000003</v>
      </c>
      <c r="I20" s="166">
        <f t="shared" si="3"/>
        <v>0.2396672</v>
      </c>
      <c r="J20" s="165">
        <f t="shared" si="4"/>
        <v>0.128</v>
      </c>
      <c r="K20" s="198">
        <f t="shared" si="0"/>
        <v>0.56064000000000003</v>
      </c>
      <c r="L20" s="170">
        <f t="shared" si="5"/>
        <v>0.2396672</v>
      </c>
      <c r="M20" s="276">
        <f t="shared" si="6"/>
        <v>3.0720000000000001</v>
      </c>
      <c r="N20" s="279">
        <v>21.6</v>
      </c>
      <c r="O20" s="278" t="str">
        <f t="shared" si="1"/>
        <v>Y</v>
      </c>
    </row>
    <row r="21" spans="2:15" x14ac:dyDescent="0.2">
      <c r="B21" s="161" t="s">
        <v>431</v>
      </c>
      <c r="C21" s="269" t="s">
        <v>99</v>
      </c>
      <c r="D21" s="269"/>
      <c r="E21" s="269" t="s">
        <v>99</v>
      </c>
      <c r="F21" s="133" t="s">
        <v>215</v>
      </c>
      <c r="G21" s="395">
        <f>LOSL.Tox!G21+'Batch - Prod.Tox'!G15</f>
        <v>3.1148479399720571E-4</v>
      </c>
      <c r="H21" s="395">
        <f t="shared" si="2"/>
        <v>1.3643033977077609E-3</v>
      </c>
      <c r="I21" s="166">
        <f t="shared" si="3"/>
        <v>5.8322412828036791E-4</v>
      </c>
      <c r="J21" s="165">
        <f t="shared" si="4"/>
        <v>3.1148479399720571E-4</v>
      </c>
      <c r="K21" s="197">
        <f t="shared" si="0"/>
        <v>1.3643033977077609E-3</v>
      </c>
      <c r="L21" s="169">
        <f t="shared" si="5"/>
        <v>5.8322412828036791E-4</v>
      </c>
      <c r="M21" s="276" t="str">
        <f t="shared" si="6"/>
        <v/>
      </c>
      <c r="N21" s="279"/>
      <c r="O21" s="278" t="str">
        <f t="shared" si="1"/>
        <v/>
      </c>
    </row>
    <row r="22" spans="2:15" x14ac:dyDescent="0.2">
      <c r="B22" s="161" t="s">
        <v>174</v>
      </c>
      <c r="C22" s="88" t="s">
        <v>99</v>
      </c>
      <c r="D22" s="269" t="s">
        <v>99</v>
      </c>
      <c r="E22" s="269"/>
      <c r="F22" s="133" t="s">
        <v>155</v>
      </c>
      <c r="G22" s="395">
        <f>'Batch - Prod.Tox'!G16</f>
        <v>1.84E-4</v>
      </c>
      <c r="H22" s="395">
        <f t="shared" si="2"/>
        <v>8.0592000000000001E-4</v>
      </c>
      <c r="I22" s="166">
        <f t="shared" si="3"/>
        <v>3.4452160000000002E-4</v>
      </c>
      <c r="J22" s="165">
        <f t="shared" si="4"/>
        <v>1.84E-4</v>
      </c>
      <c r="K22" s="198">
        <f t="shared" si="0"/>
        <v>8.0592000000000001E-4</v>
      </c>
      <c r="L22" s="170">
        <f t="shared" si="5"/>
        <v>3.4452160000000002E-4</v>
      </c>
      <c r="M22" s="276">
        <f t="shared" si="6"/>
        <v>4.4159999999999998E-3</v>
      </c>
      <c r="N22" s="279">
        <v>1.2E-2</v>
      </c>
      <c r="O22" s="278" t="str">
        <f t="shared" si="1"/>
        <v>Y</v>
      </c>
    </row>
    <row r="23" spans="2:15" x14ac:dyDescent="0.2">
      <c r="B23" s="161" t="s">
        <v>161</v>
      </c>
      <c r="C23" s="269" t="s">
        <v>99</v>
      </c>
      <c r="D23" s="269" t="s">
        <v>99</v>
      </c>
      <c r="E23" s="269" t="s">
        <v>99</v>
      </c>
      <c r="F23" s="133" t="s">
        <v>209</v>
      </c>
      <c r="G23" s="395">
        <f>LOSL.Tox!G22+'Batch - Prod.Tox'!G17</f>
        <v>0.11442495695369809</v>
      </c>
      <c r="H23" s="395">
        <f t="shared" si="2"/>
        <v>0.50118131145719769</v>
      </c>
      <c r="I23" s="166">
        <f t="shared" si="3"/>
        <v>0.21424928940010432</v>
      </c>
      <c r="J23" s="165">
        <f t="shared" si="4"/>
        <v>0.11442495695369809</v>
      </c>
      <c r="K23" s="198">
        <f t="shared" si="0"/>
        <v>0.50118131145719769</v>
      </c>
      <c r="L23" s="170">
        <f t="shared" si="5"/>
        <v>0.21424928940010432</v>
      </c>
      <c r="M23" s="276">
        <f t="shared" si="6"/>
        <v>2.7461989668887541</v>
      </c>
      <c r="N23" s="279">
        <v>1.8</v>
      </c>
      <c r="O23" s="278" t="str">
        <f t="shared" si="1"/>
        <v>N</v>
      </c>
    </row>
    <row r="24" spans="2:15" x14ac:dyDescent="0.2">
      <c r="B24" s="161" t="s">
        <v>432</v>
      </c>
      <c r="C24" s="269" t="s">
        <v>99</v>
      </c>
      <c r="D24" s="269"/>
      <c r="E24" s="269" t="s">
        <v>99</v>
      </c>
      <c r="F24" s="133" t="s">
        <v>216</v>
      </c>
      <c r="G24" s="395">
        <f>LOSL.Tox!G23+'Batch - Prod.Tox'!G18</f>
        <v>8.4622412917605589E-5</v>
      </c>
      <c r="H24" s="395">
        <f t="shared" si="2"/>
        <v>3.706461685791125E-4</v>
      </c>
      <c r="I24" s="166">
        <f t="shared" si="3"/>
        <v>1.5844700594692471E-4</v>
      </c>
      <c r="J24" s="165">
        <f t="shared" si="4"/>
        <v>8.4622412917605589E-5</v>
      </c>
      <c r="K24" s="198">
        <f t="shared" si="0"/>
        <v>3.706461685791125E-4</v>
      </c>
      <c r="L24" s="170">
        <f t="shared" si="5"/>
        <v>1.5844700594692471E-4</v>
      </c>
      <c r="M24" s="276" t="str">
        <f t="shared" si="6"/>
        <v/>
      </c>
      <c r="N24" s="279"/>
      <c r="O24" s="278" t="str">
        <f t="shared" si="1"/>
        <v/>
      </c>
    </row>
    <row r="25" spans="2:15" x14ac:dyDescent="0.2">
      <c r="B25" s="161" t="s">
        <v>433</v>
      </c>
      <c r="C25" s="269" t="s">
        <v>99</v>
      </c>
      <c r="D25" s="269"/>
      <c r="E25" s="269" t="s">
        <v>99</v>
      </c>
      <c r="F25" s="133" t="s">
        <v>217</v>
      </c>
      <c r="G25" s="475">
        <f>LOSL.Tox!G24+'Batch - Prod.Tox'!G19</f>
        <v>3.2606206927420837E-6</v>
      </c>
      <c r="H25" s="475">
        <f t="shared" si="2"/>
        <v>1.4281518634210327E-5</v>
      </c>
      <c r="I25" s="476">
        <f t="shared" si="3"/>
        <v>6.1051861850902774E-6</v>
      </c>
      <c r="J25" s="165">
        <f t="shared" si="4"/>
        <v>3.2606206927420837E-6</v>
      </c>
      <c r="K25" s="198">
        <f t="shared" si="0"/>
        <v>1.4281518634210327E-5</v>
      </c>
      <c r="L25" s="170">
        <f t="shared" si="5"/>
        <v>6.1051861850902774E-6</v>
      </c>
      <c r="M25" s="276" t="str">
        <f t="shared" si="6"/>
        <v/>
      </c>
      <c r="N25" s="279"/>
      <c r="O25" s="278" t="str">
        <f t="shared" si="1"/>
        <v/>
      </c>
    </row>
    <row r="26" spans="2:15" x14ac:dyDescent="0.2">
      <c r="B26" s="161" t="s">
        <v>434</v>
      </c>
      <c r="C26" s="269" t="s">
        <v>99</v>
      </c>
      <c r="D26" s="269"/>
      <c r="E26" s="269" t="s">
        <v>99</v>
      </c>
      <c r="F26" s="133" t="s">
        <v>218</v>
      </c>
      <c r="G26" s="395">
        <f>LOSL.Tox!G25+'Batch - Prod.Tox'!G20</f>
        <v>1.4124485767321667E-5</v>
      </c>
      <c r="H26" s="395">
        <f t="shared" si="2"/>
        <v>6.1865247660868896E-5</v>
      </c>
      <c r="I26" s="166">
        <f t="shared" si="3"/>
        <v>2.6446687150733094E-5</v>
      </c>
      <c r="J26" s="165">
        <f t="shared" si="4"/>
        <v>1.4124485767321667E-5</v>
      </c>
      <c r="K26" s="198">
        <f t="shared" si="0"/>
        <v>6.1865247660868896E-5</v>
      </c>
      <c r="L26" s="170">
        <f t="shared" si="5"/>
        <v>2.6446687150733094E-5</v>
      </c>
      <c r="M26" s="276" t="str">
        <f t="shared" si="6"/>
        <v/>
      </c>
      <c r="N26" s="277"/>
      <c r="O26" s="278" t="str">
        <f t="shared" si="1"/>
        <v/>
      </c>
    </row>
    <row r="27" spans="2:15" x14ac:dyDescent="0.2">
      <c r="B27" s="154" t="s">
        <v>325</v>
      </c>
      <c r="C27" s="88"/>
      <c r="D27" s="88"/>
      <c r="E27" s="88" t="s">
        <v>99</v>
      </c>
      <c r="F27" s="89" t="s">
        <v>266</v>
      </c>
      <c r="G27" s="395">
        <f>LOSL.Tox!G26</f>
        <v>2.0285027995337568E-5</v>
      </c>
      <c r="H27" s="395">
        <f t="shared" si="2"/>
        <v>8.8848422619578548E-5</v>
      </c>
      <c r="I27" s="166">
        <f t="shared" si="3"/>
        <v>3.7981686418470066E-5</v>
      </c>
      <c r="J27" s="165">
        <f t="shared" si="4"/>
        <v>2.0285027995337568E-5</v>
      </c>
      <c r="K27" s="198">
        <f t="shared" si="0"/>
        <v>8.8848422619578548E-5</v>
      </c>
      <c r="L27" s="170">
        <f t="shared" si="5"/>
        <v>3.7981686418470066E-5</v>
      </c>
      <c r="M27" s="276" t="str">
        <f t="shared" si="6"/>
        <v/>
      </c>
      <c r="N27" s="279"/>
      <c r="O27" s="278" t="str">
        <f t="shared" si="1"/>
        <v/>
      </c>
    </row>
    <row r="28" spans="2:15" x14ac:dyDescent="0.2">
      <c r="B28" s="161" t="s">
        <v>263</v>
      </c>
      <c r="C28" s="269" t="s">
        <v>99</v>
      </c>
      <c r="D28" s="269"/>
      <c r="E28" s="269" t="s">
        <v>99</v>
      </c>
      <c r="F28" s="133" t="s">
        <v>220</v>
      </c>
      <c r="G28" s="395">
        <f>LOSL.Tox!G27+'Batch - Prod.Tox'!G21</f>
        <v>2.7911214418304171E-6</v>
      </c>
      <c r="H28" s="395">
        <f t="shared" si="2"/>
        <v>1.2225111915217227E-5</v>
      </c>
      <c r="I28" s="166">
        <f t="shared" si="3"/>
        <v>5.2260957876832734E-6</v>
      </c>
      <c r="J28" s="165">
        <f t="shared" si="4"/>
        <v>2.7911214418304171E-6</v>
      </c>
      <c r="K28" s="198">
        <f t="shared" si="0"/>
        <v>1.2225111915217227E-5</v>
      </c>
      <c r="L28" s="170">
        <f t="shared" si="5"/>
        <v>5.2260957876832734E-6</v>
      </c>
      <c r="M28" s="276" t="str">
        <f t="shared" si="6"/>
        <v/>
      </c>
      <c r="N28" s="279"/>
      <c r="O28" s="278" t="str">
        <f t="shared" si="1"/>
        <v/>
      </c>
    </row>
    <row r="29" spans="2:15" x14ac:dyDescent="0.2">
      <c r="B29" s="161" t="s">
        <v>261</v>
      </c>
      <c r="C29" s="269" t="s">
        <v>99</v>
      </c>
      <c r="D29" s="269"/>
      <c r="E29" s="269" t="s">
        <v>99</v>
      </c>
      <c r="F29" s="133" t="s">
        <v>221</v>
      </c>
      <c r="G29" s="395">
        <f>LOSL.Tox!G28+'Batch - Prod.Tox'!G22</f>
        <v>8.2002458800141669E-6</v>
      </c>
      <c r="H29" s="395">
        <f t="shared" si="2"/>
        <v>3.5917076954462051E-5</v>
      </c>
      <c r="I29" s="166">
        <f t="shared" si="3"/>
        <v>1.5354140385738525E-5</v>
      </c>
      <c r="J29" s="165">
        <f t="shared" si="4"/>
        <v>8.2002458800141669E-6</v>
      </c>
      <c r="K29" s="198">
        <f t="shared" si="0"/>
        <v>3.5917076954462051E-5</v>
      </c>
      <c r="L29" s="170">
        <f t="shared" si="5"/>
        <v>1.5354140385738525E-5</v>
      </c>
      <c r="M29" s="276" t="str">
        <f t="shared" si="6"/>
        <v/>
      </c>
      <c r="N29" s="279"/>
      <c r="O29" s="278" t="str">
        <f t="shared" si="1"/>
        <v/>
      </c>
    </row>
    <row r="30" spans="2:15" x14ac:dyDescent="0.2">
      <c r="B30" s="161" t="s">
        <v>175</v>
      </c>
      <c r="C30" s="269"/>
      <c r="D30" s="269" t="s">
        <v>99</v>
      </c>
      <c r="E30" s="269"/>
      <c r="F30" s="133" t="s">
        <v>156</v>
      </c>
      <c r="G30" s="395">
        <f>'Batch - Prod.Tox'!G23</f>
        <v>5.9999999999999995E-5</v>
      </c>
      <c r="H30" s="395">
        <f t="shared" si="2"/>
        <v>2.6279999999999999E-4</v>
      </c>
      <c r="I30" s="166">
        <f t="shared" si="3"/>
        <v>1.1234399999999999E-4</v>
      </c>
      <c r="J30" s="165" t="str">
        <f t="shared" si="4"/>
        <v/>
      </c>
      <c r="K30" s="198" t="str">
        <f t="shared" si="0"/>
        <v/>
      </c>
      <c r="L30" s="170" t="str">
        <f t="shared" si="5"/>
        <v/>
      </c>
      <c r="M30" s="276">
        <f t="shared" si="6"/>
        <v>1.4399999999999999E-3</v>
      </c>
      <c r="N30" s="279">
        <v>0</v>
      </c>
      <c r="O30" s="278" t="str">
        <f t="shared" si="1"/>
        <v>N</v>
      </c>
    </row>
    <row r="31" spans="2:15" x14ac:dyDescent="0.2">
      <c r="B31" s="161" t="s">
        <v>176</v>
      </c>
      <c r="C31" s="88" t="s">
        <v>99</v>
      </c>
      <c r="D31" s="269" t="s">
        <v>99</v>
      </c>
      <c r="E31" s="269"/>
      <c r="F31" s="133" t="s">
        <v>157</v>
      </c>
      <c r="G31" s="395">
        <f>'Batch - Prod.Tox'!G24</f>
        <v>2.4399999999999999E-4</v>
      </c>
      <c r="H31" s="395">
        <f t="shared" si="2"/>
        <v>1.06872E-3</v>
      </c>
      <c r="I31" s="166">
        <f t="shared" si="3"/>
        <v>4.5686560000000003E-4</v>
      </c>
      <c r="J31" s="165">
        <f t="shared" si="4"/>
        <v>2.4399999999999999E-4</v>
      </c>
      <c r="K31" s="198">
        <f t="shared" si="0"/>
        <v>1.06872E-3</v>
      </c>
      <c r="L31" s="170">
        <f t="shared" si="5"/>
        <v>4.5686560000000003E-4</v>
      </c>
      <c r="M31" s="276">
        <f t="shared" si="6"/>
        <v>5.8560000000000001E-3</v>
      </c>
      <c r="N31" s="279">
        <v>3.0000000000000001E-3</v>
      </c>
      <c r="O31" s="278" t="str">
        <f t="shared" ref="O31:O63" si="7">IF(N31&lt;&gt;"",IF(AND(ROUND(M31,3)=0,N31=0),"Y",IF(M31&gt;=N31,"N","Y")),"")</f>
        <v>N</v>
      </c>
    </row>
    <row r="32" spans="2:15" x14ac:dyDescent="0.2">
      <c r="B32" s="154" t="s">
        <v>289</v>
      </c>
      <c r="C32" s="88" t="s">
        <v>99</v>
      </c>
      <c r="D32" s="88" t="s">
        <v>99</v>
      </c>
      <c r="E32" s="88"/>
      <c r="F32" s="89" t="s">
        <v>290</v>
      </c>
      <c r="G32" s="395">
        <f>LOSL.Tox!G30</f>
        <v>9.962131709911645E-4</v>
      </c>
      <c r="H32" s="395">
        <f t="shared" si="2"/>
        <v>4.3634136889413007E-3</v>
      </c>
      <c r="I32" s="166">
        <f t="shared" si="3"/>
        <v>1.8653095413638564E-3</v>
      </c>
      <c r="J32" s="165">
        <f t="shared" si="4"/>
        <v>9.962131709911645E-4</v>
      </c>
      <c r="K32" s="198">
        <f t="shared" si="0"/>
        <v>4.3634136889413007E-3</v>
      </c>
      <c r="L32" s="170">
        <f t="shared" si="5"/>
        <v>1.8653095413638564E-3</v>
      </c>
      <c r="M32" s="276">
        <f t="shared" si="6"/>
        <v>2.3909116103787948E-2</v>
      </c>
      <c r="N32" s="279">
        <v>1.8</v>
      </c>
      <c r="O32" s="278" t="str">
        <f t="shared" si="7"/>
        <v>Y</v>
      </c>
    </row>
    <row r="33" spans="2:15" x14ac:dyDescent="0.2">
      <c r="B33" s="161" t="s">
        <v>350</v>
      </c>
      <c r="C33" s="269" t="s">
        <v>99</v>
      </c>
      <c r="D33" s="269"/>
      <c r="E33" s="269"/>
      <c r="F33" s="133" t="s">
        <v>344</v>
      </c>
      <c r="G33" s="395">
        <f>'Batch - Prod.Tox'!G25</f>
        <v>2.2800000000000001E-4</v>
      </c>
      <c r="H33" s="395">
        <f t="shared" si="2"/>
        <v>9.9864000000000007E-4</v>
      </c>
      <c r="I33" s="166">
        <f t="shared" si="3"/>
        <v>4.2690720000000004E-4</v>
      </c>
      <c r="J33" s="165">
        <f t="shared" si="4"/>
        <v>2.2800000000000001E-4</v>
      </c>
      <c r="K33" s="198">
        <f t="shared" si="0"/>
        <v>9.9864000000000007E-4</v>
      </c>
      <c r="L33" s="170">
        <f t="shared" si="5"/>
        <v>4.2690720000000004E-4</v>
      </c>
      <c r="M33" s="276" t="str">
        <f t="shared" si="6"/>
        <v/>
      </c>
      <c r="N33" s="279"/>
      <c r="O33" s="278" t="str">
        <f t="shared" si="7"/>
        <v/>
      </c>
    </row>
    <row r="34" spans="2:15" x14ac:dyDescent="0.2">
      <c r="B34" s="161" t="s">
        <v>267</v>
      </c>
      <c r="C34" s="269" t="s">
        <v>99</v>
      </c>
      <c r="D34" s="269"/>
      <c r="E34" s="269" t="s">
        <v>99</v>
      </c>
      <c r="F34" s="133" t="s">
        <v>222</v>
      </c>
      <c r="G34" s="395">
        <f>LOSL.Tox!G33+'Batch - Prod.Tox'!G26</f>
        <v>3.5525305148213456E-4</v>
      </c>
      <c r="H34" s="395">
        <f t="shared" si="2"/>
        <v>1.5560083654917493E-3</v>
      </c>
      <c r="I34" s="166">
        <f t="shared" si="3"/>
        <v>6.6517581359514877E-4</v>
      </c>
      <c r="J34" s="165">
        <f t="shared" si="4"/>
        <v>3.5525305148213456E-4</v>
      </c>
      <c r="K34" s="198">
        <f t="shared" si="0"/>
        <v>1.5560083654917493E-3</v>
      </c>
      <c r="L34" s="170">
        <f t="shared" si="5"/>
        <v>6.6517581359514877E-4</v>
      </c>
      <c r="M34" s="276" t="str">
        <f t="shared" si="6"/>
        <v/>
      </c>
      <c r="N34" s="279"/>
      <c r="O34" s="278" t="str">
        <f t="shared" si="7"/>
        <v/>
      </c>
    </row>
    <row r="35" spans="2:15" x14ac:dyDescent="0.2">
      <c r="B35" s="161" t="s">
        <v>295</v>
      </c>
      <c r="C35" s="269" t="s">
        <v>99</v>
      </c>
      <c r="D35" s="269" t="s">
        <v>99</v>
      </c>
      <c r="E35" s="269"/>
      <c r="F35" s="133" t="s">
        <v>296</v>
      </c>
      <c r="G35" s="395">
        <f>LOSL.Tox!G34</f>
        <v>1.8299372034128963E-3</v>
      </c>
      <c r="H35" s="395">
        <f t="shared" si="2"/>
        <v>8.0151249509484868E-3</v>
      </c>
      <c r="I35" s="166">
        <f t="shared" si="3"/>
        <v>3.4263744196703074E-3</v>
      </c>
      <c r="J35" s="165">
        <f t="shared" si="4"/>
        <v>1.8299372034128963E-3</v>
      </c>
      <c r="K35" s="198">
        <f t="shared" si="0"/>
        <v>8.0151249509484868E-3</v>
      </c>
      <c r="L35" s="170">
        <f t="shared" si="5"/>
        <v>3.4263744196703074E-3</v>
      </c>
      <c r="M35" s="276">
        <f t="shared" si="6"/>
        <v>4.3918492881909514E-2</v>
      </c>
      <c r="N35" s="279">
        <v>0.108</v>
      </c>
      <c r="O35" s="278" t="str">
        <f t="shared" si="7"/>
        <v>Y</v>
      </c>
    </row>
    <row r="36" spans="2:15" x14ac:dyDescent="0.2">
      <c r="B36" s="154" t="s">
        <v>269</v>
      </c>
      <c r="C36" s="88" t="s">
        <v>99</v>
      </c>
      <c r="D36" s="88"/>
      <c r="E36" s="88" t="s">
        <v>99</v>
      </c>
      <c r="F36" s="89" t="s">
        <v>270</v>
      </c>
      <c r="G36" s="395">
        <f>LOSL.Tox!G35+'Batch - Prod.Tox'!G27</f>
        <v>5.8058680709329178E-7</v>
      </c>
      <c r="H36" s="395">
        <f t="shared" si="2"/>
        <v>2.5429702150686182E-6</v>
      </c>
      <c r="I36" s="166">
        <f t="shared" si="3"/>
        <v>1.0870907376014797E-6</v>
      </c>
      <c r="J36" s="165">
        <f t="shared" si="4"/>
        <v>5.8058680709329178E-7</v>
      </c>
      <c r="K36" s="198">
        <f t="shared" si="0"/>
        <v>2.5429702150686182E-6</v>
      </c>
      <c r="L36" s="170">
        <f t="shared" si="5"/>
        <v>1.0870907376014797E-6</v>
      </c>
      <c r="M36" s="276" t="str">
        <f t="shared" si="6"/>
        <v/>
      </c>
      <c r="N36" s="279"/>
      <c r="O36" s="278" t="str">
        <f t="shared" si="7"/>
        <v/>
      </c>
    </row>
    <row r="37" spans="2:15" x14ac:dyDescent="0.2">
      <c r="B37" s="154" t="s">
        <v>291</v>
      </c>
      <c r="C37" s="88" t="s">
        <v>99</v>
      </c>
      <c r="D37" s="88" t="s">
        <v>99</v>
      </c>
      <c r="E37" s="88"/>
      <c r="F37" s="133" t="s">
        <v>339</v>
      </c>
      <c r="G37" s="395">
        <f>LOSL.Tox!G31</f>
        <v>1.9848048276256203E-4</v>
      </c>
      <c r="H37" s="395">
        <f t="shared" si="2"/>
        <v>8.6934451450002166E-4</v>
      </c>
      <c r="I37" s="166">
        <f t="shared" si="3"/>
        <v>3.7163485592462114E-4</v>
      </c>
      <c r="J37" s="165">
        <f t="shared" si="4"/>
        <v>1.9848048276256203E-4</v>
      </c>
      <c r="K37" s="198">
        <f t="shared" si="0"/>
        <v>8.6934451450002166E-4</v>
      </c>
      <c r="L37" s="170">
        <f t="shared" si="5"/>
        <v>3.7163485592462114E-4</v>
      </c>
      <c r="M37" s="276">
        <f t="shared" si="6"/>
        <v>4.7635315863014888E-3</v>
      </c>
      <c r="N37" s="279">
        <v>316.8</v>
      </c>
      <c r="O37" s="278" t="str">
        <f t="shared" si="7"/>
        <v>Y</v>
      </c>
    </row>
    <row r="38" spans="2:15" x14ac:dyDescent="0.2">
      <c r="B38" s="154" t="s">
        <v>297</v>
      </c>
      <c r="C38" s="88" t="s">
        <v>99</v>
      </c>
      <c r="D38" s="88" t="s">
        <v>99</v>
      </c>
      <c r="E38" s="88"/>
      <c r="F38" s="89" t="s">
        <v>298</v>
      </c>
      <c r="G38" s="395">
        <f>LOSL.Tox!G36+'Batch - Prod.Tox'!G28</f>
        <v>0.88651039815201527</v>
      </c>
      <c r="H38" s="395">
        <f t="shared" si="2"/>
        <v>3.8829155439058267</v>
      </c>
      <c r="I38" s="166">
        <f t="shared" si="3"/>
        <v>1.6599020694998334</v>
      </c>
      <c r="J38" s="165">
        <f t="shared" si="4"/>
        <v>0.88651039815201527</v>
      </c>
      <c r="K38" s="198">
        <f t="shared" si="0"/>
        <v>3.8829155439058267</v>
      </c>
      <c r="L38" s="170">
        <f t="shared" si="5"/>
        <v>1.6599020694998334</v>
      </c>
      <c r="M38" s="276">
        <f t="shared" si="6"/>
        <v>21.276249555648366</v>
      </c>
      <c r="N38" s="279">
        <v>52.2</v>
      </c>
      <c r="O38" s="278" t="str">
        <f t="shared" si="7"/>
        <v>Y</v>
      </c>
    </row>
    <row r="39" spans="2:15" x14ac:dyDescent="0.2">
      <c r="B39" s="154" t="s">
        <v>271</v>
      </c>
      <c r="C39" s="88" t="s">
        <v>99</v>
      </c>
      <c r="D39" s="88"/>
      <c r="E39" s="88" t="s">
        <v>99</v>
      </c>
      <c r="F39" s="89" t="s">
        <v>223</v>
      </c>
      <c r="G39" s="395">
        <f>LOSL.Tox!G37+'Batch - Prod.Tox'!G29</f>
        <v>9.820520973772803E-3</v>
      </c>
      <c r="H39" s="395">
        <f t="shared" si="2"/>
        <v>4.3013881865124878E-2</v>
      </c>
      <c r="I39" s="166">
        <f t="shared" si="3"/>
        <v>1.8387943471292197E-2</v>
      </c>
      <c r="J39" s="165">
        <f t="shared" si="4"/>
        <v>9.820520973772803E-3</v>
      </c>
      <c r="K39" s="198">
        <f t="shared" si="0"/>
        <v>4.3013881865124878E-2</v>
      </c>
      <c r="L39" s="170">
        <f t="shared" si="5"/>
        <v>1.8387943471292197E-2</v>
      </c>
      <c r="M39" s="276" t="str">
        <f t="shared" si="6"/>
        <v/>
      </c>
      <c r="N39" s="279"/>
      <c r="O39" s="278" t="str">
        <f t="shared" si="7"/>
        <v/>
      </c>
    </row>
    <row r="40" spans="2:15" x14ac:dyDescent="0.2">
      <c r="B40" s="161" t="s">
        <v>273</v>
      </c>
      <c r="C40" s="269" t="s">
        <v>99</v>
      </c>
      <c r="D40" s="269"/>
      <c r="E40" s="269" t="s">
        <v>99</v>
      </c>
      <c r="F40" s="133" t="s">
        <v>224</v>
      </c>
      <c r="G40" s="395">
        <f>LOSL.Tox!G38+'Batch - Prod.Tox'!G30</f>
        <v>2.7157987452245021E-3</v>
      </c>
      <c r="H40" s="395">
        <f t="shared" si="2"/>
        <v>1.1895198504083319E-2</v>
      </c>
      <c r="I40" s="166">
        <f t="shared" si="3"/>
        <v>5.0850615705583576E-3</v>
      </c>
      <c r="J40" s="165">
        <f t="shared" si="4"/>
        <v>2.7157987452245021E-3</v>
      </c>
      <c r="K40" s="198">
        <f t="shared" si="0"/>
        <v>1.1895198504083319E-2</v>
      </c>
      <c r="L40" s="170">
        <f t="shared" si="5"/>
        <v>5.0850615705583576E-3</v>
      </c>
      <c r="M40" s="276" t="str">
        <f t="shared" si="6"/>
        <v/>
      </c>
      <c r="N40" s="279"/>
      <c r="O40" s="278" t="str">
        <f t="shared" si="7"/>
        <v/>
      </c>
    </row>
    <row r="41" spans="2:15" x14ac:dyDescent="0.2">
      <c r="B41" s="161" t="s">
        <v>299</v>
      </c>
      <c r="C41" s="269" t="s">
        <v>99</v>
      </c>
      <c r="D41" s="269" t="s">
        <v>99</v>
      </c>
      <c r="E41" s="269" t="s">
        <v>99</v>
      </c>
      <c r="F41" s="133" t="s">
        <v>210</v>
      </c>
      <c r="G41" s="395">
        <f>LOSL.Tox!G39+'Batch - Prod.Tox'!G31</f>
        <v>0.33109920144660288</v>
      </c>
      <c r="H41" s="395">
        <f t="shared" si="2"/>
        <v>1.4502145023361206</v>
      </c>
      <c r="I41" s="166">
        <f t="shared" si="3"/>
        <v>0.61995014478861921</v>
      </c>
      <c r="J41" s="165">
        <f t="shared" si="4"/>
        <v>0.33109920144660288</v>
      </c>
      <c r="K41" s="198">
        <f t="shared" si="0"/>
        <v>1.4502145023361206</v>
      </c>
      <c r="L41" s="170">
        <f t="shared" si="5"/>
        <v>0.61995014478861921</v>
      </c>
      <c r="M41" s="276">
        <f t="shared" si="6"/>
        <v>7.946380834718469</v>
      </c>
      <c r="N41" s="279">
        <v>0.18</v>
      </c>
      <c r="O41" s="278" t="str">
        <f t="shared" si="7"/>
        <v>N</v>
      </c>
    </row>
    <row r="42" spans="2:15" x14ac:dyDescent="0.2">
      <c r="B42" s="154" t="s">
        <v>301</v>
      </c>
      <c r="C42" s="88" t="s">
        <v>99</v>
      </c>
      <c r="D42" s="88" t="s">
        <v>99</v>
      </c>
      <c r="E42" s="88" t="s">
        <v>99</v>
      </c>
      <c r="F42" s="89" t="s">
        <v>326</v>
      </c>
      <c r="G42" s="395">
        <f>LOSL.Tox!G40</f>
        <v>7.370043070827839E-3</v>
      </c>
      <c r="H42" s="395">
        <f t="shared" si="2"/>
        <v>3.2280788650225933E-2</v>
      </c>
      <c r="I42" s="166">
        <f t="shared" si="3"/>
        <v>1.3799668645818046E-2</v>
      </c>
      <c r="J42" s="165">
        <f t="shared" si="4"/>
        <v>7.370043070827839E-3</v>
      </c>
      <c r="K42" s="198">
        <f t="shared" si="0"/>
        <v>3.2280788650225933E-2</v>
      </c>
      <c r="L42" s="170">
        <f t="shared" si="5"/>
        <v>1.3799668645818046E-2</v>
      </c>
      <c r="M42" s="276">
        <f t="shared" si="6"/>
        <v>0.17688103369986813</v>
      </c>
      <c r="N42" s="279">
        <v>10.8</v>
      </c>
      <c r="O42" s="278" t="str">
        <f t="shared" si="7"/>
        <v>Y</v>
      </c>
    </row>
    <row r="43" spans="2:15" x14ac:dyDescent="0.2">
      <c r="B43" s="154" t="s">
        <v>347</v>
      </c>
      <c r="C43" s="88" t="s">
        <v>99</v>
      </c>
      <c r="D43" s="88" t="s">
        <v>99</v>
      </c>
      <c r="E43" s="88"/>
      <c r="F43" s="89" t="s">
        <v>154</v>
      </c>
      <c r="G43" s="395">
        <f>'Batch - Prod.Tox'!G32</f>
        <v>1.9199999999999999E-5</v>
      </c>
      <c r="H43" s="395">
        <f t="shared" si="2"/>
        <v>8.4095999999999989E-5</v>
      </c>
      <c r="I43" s="166">
        <f t="shared" si="3"/>
        <v>3.5950080000000005E-5</v>
      </c>
      <c r="J43" s="165">
        <f t="shared" si="4"/>
        <v>1.9199999999999999E-5</v>
      </c>
      <c r="K43" s="198">
        <f t="shared" si="0"/>
        <v>8.4095999999999989E-5</v>
      </c>
      <c r="L43" s="170">
        <f t="shared" si="5"/>
        <v>3.5950080000000005E-5</v>
      </c>
      <c r="M43" s="276">
        <f t="shared" si="6"/>
        <v>4.6079999999999998E-4</v>
      </c>
      <c r="N43" s="279">
        <v>0.03</v>
      </c>
      <c r="O43" s="278" t="str">
        <f t="shared" si="7"/>
        <v>Y</v>
      </c>
    </row>
    <row r="44" spans="2:15" x14ac:dyDescent="0.2">
      <c r="B44" s="154" t="s">
        <v>275</v>
      </c>
      <c r="C44" s="88" t="s">
        <v>99</v>
      </c>
      <c r="D44" s="88"/>
      <c r="E44" s="88" t="s">
        <v>99</v>
      </c>
      <c r="F44" s="89" t="s">
        <v>225</v>
      </c>
      <c r="G44" s="395">
        <f>LOSL.Tox!G41+'Batch - Prod.Tox'!G33</f>
        <v>7.609616198212084E-7</v>
      </c>
      <c r="H44" s="395">
        <f t="shared" si="2"/>
        <v>3.3330118948168928E-6</v>
      </c>
      <c r="I44" s="166">
        <f t="shared" si="3"/>
        <v>1.4248245369532307E-6</v>
      </c>
      <c r="J44" s="165">
        <f t="shared" si="4"/>
        <v>7.609616198212084E-7</v>
      </c>
      <c r="K44" s="198">
        <f t="shared" si="0"/>
        <v>3.3330118948168928E-6</v>
      </c>
      <c r="L44" s="170">
        <f t="shared" si="5"/>
        <v>1.4248245369532307E-6</v>
      </c>
      <c r="M44" s="276" t="str">
        <f t="shared" si="6"/>
        <v/>
      </c>
      <c r="N44" s="279"/>
      <c r="O44" s="278" t="str">
        <f t="shared" si="7"/>
        <v/>
      </c>
    </row>
    <row r="45" spans="2:15" x14ac:dyDescent="0.2">
      <c r="B45" s="154" t="s">
        <v>422</v>
      </c>
      <c r="C45" s="88" t="s">
        <v>99</v>
      </c>
      <c r="D45" s="88" t="s">
        <v>99</v>
      </c>
      <c r="E45" s="88"/>
      <c r="F45" s="89" t="s">
        <v>423</v>
      </c>
      <c r="G45" s="395">
        <f>'Batch - Prod.Tox'!G34</f>
        <v>2.7599999999999999E-3</v>
      </c>
      <c r="H45" s="395">
        <f t="shared" si="2"/>
        <v>1.2088799999999999E-2</v>
      </c>
      <c r="I45" s="166">
        <f t="shared" si="3"/>
        <v>5.1678240000000005E-3</v>
      </c>
      <c r="J45" s="165">
        <f t="shared" si="4"/>
        <v>2.7599999999999999E-3</v>
      </c>
      <c r="K45" s="198">
        <f t="shared" si="0"/>
        <v>1.2088799999999999E-2</v>
      </c>
      <c r="L45" s="170">
        <f t="shared" si="5"/>
        <v>5.1678240000000005E-3</v>
      </c>
      <c r="M45" s="276">
        <f t="shared" si="6"/>
        <v>6.6239999999999993E-2</v>
      </c>
      <c r="N45" s="279">
        <v>0.3</v>
      </c>
      <c r="O45" s="278" t="str">
        <f t="shared" si="7"/>
        <v>Y</v>
      </c>
    </row>
    <row r="46" spans="2:15" x14ac:dyDescent="0.2">
      <c r="B46" s="154" t="s">
        <v>318</v>
      </c>
      <c r="C46" s="88"/>
      <c r="D46" s="88" t="s">
        <v>99</v>
      </c>
      <c r="E46" s="88"/>
      <c r="F46" s="89" t="s">
        <v>338</v>
      </c>
      <c r="G46" s="395">
        <f>LOSL.Tox!G17</f>
        <v>2.716276766419016E-3</v>
      </c>
      <c r="H46" s="395">
        <f t="shared" si="2"/>
        <v>1.189729223691529E-2</v>
      </c>
      <c r="I46" s="166">
        <f t="shared" si="3"/>
        <v>5.0859566174429657E-3</v>
      </c>
      <c r="J46" s="165" t="str">
        <f t="shared" si="4"/>
        <v/>
      </c>
      <c r="K46" s="198" t="str">
        <f t="shared" si="0"/>
        <v/>
      </c>
      <c r="L46" s="170" t="str">
        <f t="shared" si="5"/>
        <v/>
      </c>
      <c r="M46" s="276">
        <f t="shared" si="6"/>
        <v>6.5190642394056392E-2</v>
      </c>
      <c r="N46" s="279">
        <v>177</v>
      </c>
      <c r="O46" s="278" t="str">
        <f t="shared" si="7"/>
        <v>Y</v>
      </c>
    </row>
    <row r="47" spans="2:15" x14ac:dyDescent="0.2">
      <c r="B47" s="154" t="s">
        <v>177</v>
      </c>
      <c r="C47" s="88" t="s">
        <v>99</v>
      </c>
      <c r="D47" s="88" t="s">
        <v>99</v>
      </c>
      <c r="E47" s="88"/>
      <c r="F47" s="89" t="s">
        <v>159</v>
      </c>
      <c r="G47" s="395">
        <f>'Batch - Prod.Tox'!G35</f>
        <v>1.64E-4</v>
      </c>
      <c r="H47" s="395">
        <f t="shared" si="2"/>
        <v>7.1831999999999994E-4</v>
      </c>
      <c r="I47" s="166">
        <f t="shared" si="3"/>
        <v>3.0707359999999998E-4</v>
      </c>
      <c r="J47" s="165">
        <f t="shared" si="4"/>
        <v>1.64E-4</v>
      </c>
      <c r="K47" s="198">
        <f t="shared" si="0"/>
        <v>7.1831999999999994E-4</v>
      </c>
      <c r="L47" s="170">
        <f t="shared" si="5"/>
        <v>3.0707359999999998E-4</v>
      </c>
      <c r="M47" s="276">
        <f t="shared" si="6"/>
        <v>3.9360000000000003E-3</v>
      </c>
      <c r="N47" s="279">
        <v>3.0000000000000001E-3</v>
      </c>
      <c r="O47" s="278" t="str">
        <f t="shared" si="7"/>
        <v>N</v>
      </c>
    </row>
    <row r="48" spans="2:15" x14ac:dyDescent="0.2">
      <c r="B48" s="154" t="s">
        <v>286</v>
      </c>
      <c r="C48" s="88" t="s">
        <v>99</v>
      </c>
      <c r="D48" s="88" t="s">
        <v>99</v>
      </c>
      <c r="E48" s="88"/>
      <c r="F48" s="133" t="s">
        <v>337</v>
      </c>
      <c r="G48" s="395">
        <f>LOSL.Tox!G29</f>
        <v>3.98562644176737E-4</v>
      </c>
      <c r="H48" s="395">
        <f t="shared" si="2"/>
        <v>1.7457043814941081E-3</v>
      </c>
      <c r="I48" s="166">
        <f t="shared" si="3"/>
        <v>7.4626869495652236E-4</v>
      </c>
      <c r="J48" s="165">
        <f t="shared" si="4"/>
        <v>3.98562644176737E-4</v>
      </c>
      <c r="K48" s="198">
        <f t="shared" si="0"/>
        <v>1.7457043814941081E-3</v>
      </c>
      <c r="L48" s="170">
        <f t="shared" si="5"/>
        <v>7.4626869495652236E-4</v>
      </c>
      <c r="M48" s="276">
        <f t="shared" si="6"/>
        <v>9.565503460241688E-3</v>
      </c>
      <c r="N48" s="279">
        <v>1.2</v>
      </c>
      <c r="O48" s="278" t="str">
        <f t="shared" si="7"/>
        <v>Y</v>
      </c>
    </row>
    <row r="49" spans="2:15" x14ac:dyDescent="0.2">
      <c r="B49" s="155" t="s">
        <v>293</v>
      </c>
      <c r="C49" s="88" t="s">
        <v>99</v>
      </c>
      <c r="D49" s="88" t="s">
        <v>99</v>
      </c>
      <c r="E49" s="88"/>
      <c r="F49" s="133" t="s">
        <v>340</v>
      </c>
      <c r="G49" s="395">
        <f>LOSL.Tox!G32</f>
        <v>1.3707119475035712E-3</v>
      </c>
      <c r="H49" s="395">
        <f t="shared" si="2"/>
        <v>6.0037183300656414E-3</v>
      </c>
      <c r="I49" s="166">
        <f t="shared" si="3"/>
        <v>2.5665210505056869E-3</v>
      </c>
      <c r="J49" s="165">
        <f t="shared" si="4"/>
        <v>1.3707119475035712E-3</v>
      </c>
      <c r="K49" s="198">
        <f t="shared" si="0"/>
        <v>6.0037183300656414E-3</v>
      </c>
      <c r="L49" s="170">
        <f t="shared" si="5"/>
        <v>2.5665210505056869E-3</v>
      </c>
      <c r="M49" s="276">
        <f t="shared" si="6"/>
        <v>3.2897086740085707E-2</v>
      </c>
      <c r="N49" s="279">
        <v>6.18</v>
      </c>
      <c r="O49" s="278" t="str">
        <f t="shared" si="7"/>
        <v>Y</v>
      </c>
    </row>
    <row r="50" spans="2:15" x14ac:dyDescent="0.2">
      <c r="B50" s="154" t="s">
        <v>304</v>
      </c>
      <c r="C50" s="88" t="s">
        <v>99</v>
      </c>
      <c r="D50" s="88" t="s">
        <v>99</v>
      </c>
      <c r="E50" s="88"/>
      <c r="F50" s="89" t="s">
        <v>305</v>
      </c>
      <c r="G50" s="395">
        <f>LOSL.Tox!G43</f>
        <v>1.3161620224124046E-5</v>
      </c>
      <c r="H50" s="395">
        <f t="shared" si="2"/>
        <v>5.7647896581663329E-5</v>
      </c>
      <c r="I50" s="166">
        <f t="shared" si="3"/>
        <v>2.4643817707649863E-5</v>
      </c>
      <c r="J50" s="165">
        <f t="shared" si="4"/>
        <v>1.3161620224124046E-5</v>
      </c>
      <c r="K50" s="198">
        <f t="shared" si="0"/>
        <v>5.7647896581663329E-5</v>
      </c>
      <c r="L50" s="170">
        <f t="shared" si="5"/>
        <v>2.4643817707649863E-5</v>
      </c>
      <c r="M50" s="276">
        <f t="shared" si="6"/>
        <v>3.1587888537897712E-4</v>
      </c>
      <c r="N50" s="279">
        <v>105</v>
      </c>
      <c r="O50" s="278" t="str">
        <f t="shared" si="7"/>
        <v>Y</v>
      </c>
    </row>
    <row r="51" spans="2:15" x14ac:dyDescent="0.2">
      <c r="B51" s="161" t="s">
        <v>278</v>
      </c>
      <c r="C51" s="269" t="s">
        <v>99</v>
      </c>
      <c r="D51" s="269" t="s">
        <v>99</v>
      </c>
      <c r="E51" s="269" t="s">
        <v>99</v>
      </c>
      <c r="F51" s="133" t="s">
        <v>226</v>
      </c>
      <c r="G51" s="395">
        <f>LOSL.Tox!G44+'Batch - Prod.Tox'!G36</f>
        <v>1.7952999110326256E-2</v>
      </c>
      <c r="H51" s="395">
        <f t="shared" si="2"/>
        <v>7.8634136103229002E-2</v>
      </c>
      <c r="I51" s="166">
        <f t="shared" si="3"/>
        <v>3.3615195534174878E-2</v>
      </c>
      <c r="J51" s="165">
        <f t="shared" si="4"/>
        <v>1.7952999110326256E-2</v>
      </c>
      <c r="K51" s="198">
        <f t="shared" si="0"/>
        <v>7.8634136103229002E-2</v>
      </c>
      <c r="L51" s="170">
        <f t="shared" si="5"/>
        <v>3.3615195534174878E-2</v>
      </c>
      <c r="M51" s="276">
        <f t="shared" si="6"/>
        <v>0.43087197864783011</v>
      </c>
      <c r="N51" s="279">
        <v>15</v>
      </c>
      <c r="O51" s="278" t="str">
        <f t="shared" si="7"/>
        <v>Y</v>
      </c>
    </row>
    <row r="52" spans="2:15" x14ac:dyDescent="0.2">
      <c r="B52" s="155" t="s">
        <v>178</v>
      </c>
      <c r="C52" s="88" t="s">
        <v>99</v>
      </c>
      <c r="D52" s="88" t="s">
        <v>99</v>
      </c>
      <c r="E52" s="88"/>
      <c r="F52" s="89" t="s">
        <v>160</v>
      </c>
      <c r="G52" s="395">
        <f>'Batch - Prod.Tox'!G37</f>
        <v>1.2000000000000001E-3</v>
      </c>
      <c r="H52" s="395">
        <f t="shared" si="2"/>
        <v>5.2560000000000003E-3</v>
      </c>
      <c r="I52" s="166">
        <f t="shared" si="3"/>
        <v>2.2468800000000006E-3</v>
      </c>
      <c r="J52" s="165">
        <f t="shared" si="4"/>
        <v>1.2000000000000001E-3</v>
      </c>
      <c r="K52" s="198">
        <f t="shared" si="0"/>
        <v>5.2560000000000003E-3</v>
      </c>
      <c r="L52" s="170">
        <f t="shared" si="5"/>
        <v>2.2468800000000006E-3</v>
      </c>
      <c r="M52" s="276">
        <f t="shared" si="6"/>
        <v>2.8800000000000003E-2</v>
      </c>
      <c r="N52" s="279">
        <v>6.0000000000000001E-3</v>
      </c>
      <c r="O52" s="278" t="str">
        <f t="shared" si="7"/>
        <v>N</v>
      </c>
    </row>
    <row r="53" spans="2:15" x14ac:dyDescent="0.2">
      <c r="B53" s="154" t="s">
        <v>313</v>
      </c>
      <c r="C53" s="88" t="s">
        <v>99</v>
      </c>
      <c r="D53" s="88" t="s">
        <v>99</v>
      </c>
      <c r="E53" s="88"/>
      <c r="F53" s="89" t="s">
        <v>314</v>
      </c>
      <c r="G53" s="395">
        <f>LOSL.Tox!G45</f>
        <v>4.1094276902012231E-3</v>
      </c>
      <c r="H53" s="395">
        <f t="shared" si="2"/>
        <v>1.7999293283081357E-2</v>
      </c>
      <c r="I53" s="166">
        <f t="shared" si="3"/>
        <v>7.6944924071327709E-3</v>
      </c>
      <c r="J53" s="165">
        <f t="shared" si="4"/>
        <v>4.1094276902012231E-3</v>
      </c>
      <c r="K53" s="198">
        <f t="shared" si="0"/>
        <v>1.7999293283081357E-2</v>
      </c>
      <c r="L53" s="170">
        <f t="shared" si="5"/>
        <v>7.6944924071327709E-3</v>
      </c>
      <c r="M53" s="276">
        <f t="shared" si="6"/>
        <v>9.8626264564829355E-2</v>
      </c>
      <c r="N53" s="279">
        <v>52.2</v>
      </c>
      <c r="O53" s="278" t="str">
        <f t="shared" si="7"/>
        <v>Y</v>
      </c>
    </row>
    <row r="54" spans="2:15" x14ac:dyDescent="0.2">
      <c r="B54" s="154" t="s">
        <v>328</v>
      </c>
      <c r="C54" s="88" t="s">
        <v>99</v>
      </c>
      <c r="D54" s="88"/>
      <c r="E54" s="88" t="s">
        <v>99</v>
      </c>
      <c r="F54" s="89" t="s">
        <v>171</v>
      </c>
      <c r="G54" s="395">
        <f>LOSL.Tox!G46</f>
        <v>6.0469172281910289E-5</v>
      </c>
      <c r="H54" s="395">
        <f t="shared" si="2"/>
        <v>2.6485497459476711E-4</v>
      </c>
      <c r="I54" s="166">
        <f t="shared" si="3"/>
        <v>1.1322247818064883E-4</v>
      </c>
      <c r="J54" s="165">
        <f t="shared" si="4"/>
        <v>6.0469172281910289E-5</v>
      </c>
      <c r="K54" s="198">
        <f t="shared" si="0"/>
        <v>2.6485497459476711E-4</v>
      </c>
      <c r="L54" s="170">
        <f t="shared" si="5"/>
        <v>1.1322247818064883E-4</v>
      </c>
      <c r="M54" s="276" t="str">
        <f t="shared" si="6"/>
        <v/>
      </c>
      <c r="N54" s="277"/>
      <c r="O54" s="278" t="str">
        <f t="shared" si="7"/>
        <v/>
      </c>
    </row>
    <row r="55" spans="2:15" x14ac:dyDescent="0.2">
      <c r="B55" s="154" t="s">
        <v>280</v>
      </c>
      <c r="C55" s="88" t="s">
        <v>99</v>
      </c>
      <c r="D55" s="88"/>
      <c r="E55" s="88" t="s">
        <v>99</v>
      </c>
      <c r="F55" s="89" t="s">
        <v>227</v>
      </c>
      <c r="G55" s="395">
        <f>LOSL.Tox!G47+'Batch - Prod.Tox'!G38</f>
        <v>1.773263879200224E-2</v>
      </c>
      <c r="H55" s="395">
        <f t="shared" si="2"/>
        <v>7.7668957908969813E-2</v>
      </c>
      <c r="I55" s="166">
        <f t="shared" si="3"/>
        <v>3.3202592874144995E-2</v>
      </c>
      <c r="J55" s="165">
        <f t="shared" si="4"/>
        <v>1.773263879200224E-2</v>
      </c>
      <c r="K55" s="197">
        <f t="shared" si="0"/>
        <v>7.7668957908969813E-2</v>
      </c>
      <c r="L55" s="169">
        <f t="shared" si="5"/>
        <v>3.3202592874144995E-2</v>
      </c>
      <c r="M55" s="276" t="str">
        <f t="shared" si="6"/>
        <v/>
      </c>
      <c r="N55" s="279"/>
      <c r="O55" s="278" t="str">
        <f t="shared" si="7"/>
        <v/>
      </c>
    </row>
    <row r="56" spans="2:15" x14ac:dyDescent="0.2">
      <c r="B56" s="155" t="s">
        <v>100</v>
      </c>
      <c r="C56" s="88" t="s">
        <v>99</v>
      </c>
      <c r="D56" s="88" t="s">
        <v>99</v>
      </c>
      <c r="E56" s="88"/>
      <c r="F56" s="89" t="s">
        <v>284</v>
      </c>
      <c r="G56" s="395">
        <f>LOSL.Tox!G48</f>
        <v>1.6092227901894169E-3</v>
      </c>
      <c r="H56" s="395">
        <f t="shared" si="2"/>
        <v>7.048395821029646E-3</v>
      </c>
      <c r="I56" s="166">
        <f t="shared" si="3"/>
        <v>3.0131087523506644E-3</v>
      </c>
      <c r="J56" s="165">
        <f t="shared" si="4"/>
        <v>1.6092227901894169E-3</v>
      </c>
      <c r="K56" s="198">
        <f t="shared" si="0"/>
        <v>7.048395821029646E-3</v>
      </c>
      <c r="L56" s="170">
        <f t="shared" si="5"/>
        <v>3.0131087523506644E-3</v>
      </c>
      <c r="M56" s="276">
        <f t="shared" si="6"/>
        <v>3.8621346964546006E-2</v>
      </c>
      <c r="N56" s="279">
        <v>2.2799999999999998</v>
      </c>
      <c r="O56" s="278" t="str">
        <f t="shared" si="7"/>
        <v>Y</v>
      </c>
    </row>
    <row r="57" spans="2:15" x14ac:dyDescent="0.2">
      <c r="B57" s="161" t="s">
        <v>282</v>
      </c>
      <c r="C57" s="269" t="s">
        <v>99</v>
      </c>
      <c r="D57" s="269"/>
      <c r="E57" s="269" t="s">
        <v>99</v>
      </c>
      <c r="F57" s="133" t="s">
        <v>228</v>
      </c>
      <c r="G57" s="394">
        <f>LOSL.Tox!G50+'Batch - Prod.Tox'!G40</f>
        <v>2.2651407350157818E-2</v>
      </c>
      <c r="H57" s="394">
        <f t="shared" si="2"/>
        <v>9.9213164193691236E-2</v>
      </c>
      <c r="I57" s="167">
        <f t="shared" si="3"/>
        <v>4.2412495122435501E-2</v>
      </c>
      <c r="J57" s="168">
        <f t="shared" si="4"/>
        <v>2.2651407350157818E-2</v>
      </c>
      <c r="K57" s="197">
        <f t="shared" si="0"/>
        <v>9.9213164193691236E-2</v>
      </c>
      <c r="L57" s="169">
        <f t="shared" si="5"/>
        <v>4.2412495122435501E-2</v>
      </c>
      <c r="M57" s="276" t="str">
        <f t="shared" si="6"/>
        <v/>
      </c>
      <c r="N57" s="279"/>
      <c r="O57" s="278" t="str">
        <f t="shared" si="7"/>
        <v/>
      </c>
    </row>
    <row r="58" spans="2:15" x14ac:dyDescent="0.2">
      <c r="B58" s="155" t="s">
        <v>398</v>
      </c>
      <c r="C58" s="88" t="s">
        <v>99</v>
      </c>
      <c r="D58" s="88" t="s">
        <v>99</v>
      </c>
      <c r="E58" s="88"/>
      <c r="F58" s="89" t="s">
        <v>401</v>
      </c>
      <c r="G58" s="394">
        <f>'Batch - Prod.Tox'!G41</f>
        <v>0.108</v>
      </c>
      <c r="H58" s="394">
        <f t="shared" si="2"/>
        <v>0.47304000000000002</v>
      </c>
      <c r="I58" s="167">
        <f t="shared" si="3"/>
        <v>0.20221919999999999</v>
      </c>
      <c r="J58" s="168">
        <f t="shared" si="4"/>
        <v>0.108</v>
      </c>
      <c r="K58" s="197">
        <f t="shared" si="0"/>
        <v>0.47304000000000002</v>
      </c>
      <c r="L58" s="169">
        <f t="shared" si="5"/>
        <v>0.20221919999999999</v>
      </c>
      <c r="M58" s="276">
        <f t="shared" si="6"/>
        <v>2.5920000000000001</v>
      </c>
      <c r="N58" s="279">
        <v>2.4E-2</v>
      </c>
      <c r="O58" s="278" t="str">
        <f t="shared" si="7"/>
        <v>N</v>
      </c>
    </row>
    <row r="59" spans="2:15" x14ac:dyDescent="0.2">
      <c r="B59" s="161" t="s">
        <v>348</v>
      </c>
      <c r="C59" s="269" t="s">
        <v>99</v>
      </c>
      <c r="D59" s="269" t="s">
        <v>99</v>
      </c>
      <c r="E59" s="269"/>
      <c r="F59" s="133" t="s">
        <v>346</v>
      </c>
      <c r="G59" s="395">
        <f>'Batch - Prod.Tox'!G42</f>
        <v>1.9599999999999999E-4</v>
      </c>
      <c r="H59" s="395">
        <f t="shared" si="2"/>
        <v>8.5848000000000001E-4</v>
      </c>
      <c r="I59" s="166">
        <f t="shared" si="3"/>
        <v>3.6699040000000001E-4</v>
      </c>
      <c r="J59" s="165">
        <f t="shared" si="4"/>
        <v>1.9599999999999999E-4</v>
      </c>
      <c r="K59" s="198">
        <f t="shared" si="0"/>
        <v>8.5848000000000001E-4</v>
      </c>
      <c r="L59" s="170">
        <f t="shared" si="5"/>
        <v>3.6699040000000001E-4</v>
      </c>
      <c r="M59" s="276">
        <f t="shared" si="6"/>
        <v>4.7039999999999998E-3</v>
      </c>
      <c r="N59" s="279">
        <v>1.2E-2</v>
      </c>
      <c r="O59" s="278" t="str">
        <f t="shared" si="7"/>
        <v>Y</v>
      </c>
    </row>
    <row r="60" spans="2:15" x14ac:dyDescent="0.2">
      <c r="B60" s="161" t="s">
        <v>306</v>
      </c>
      <c r="C60" s="269" t="s">
        <v>99</v>
      </c>
      <c r="D60" s="269" t="s">
        <v>99</v>
      </c>
      <c r="E60" s="269"/>
      <c r="F60" s="133" t="s">
        <v>307</v>
      </c>
      <c r="G60" s="395">
        <f>LOSL.Tox!G51</f>
        <v>3.8467369161806402E-4</v>
      </c>
      <c r="H60" s="395">
        <f t="shared" si="2"/>
        <v>1.6848707692871203E-3</v>
      </c>
      <c r="I60" s="166">
        <f t="shared" si="3"/>
        <v>7.202630201856631E-4</v>
      </c>
      <c r="J60" s="165">
        <f t="shared" si="4"/>
        <v>3.8467369161806402E-4</v>
      </c>
      <c r="K60" s="198">
        <f t="shared" si="0"/>
        <v>1.6848707692871203E-3</v>
      </c>
      <c r="L60" s="170">
        <f t="shared" si="5"/>
        <v>7.202630201856631E-4</v>
      </c>
      <c r="M60" s="276">
        <f t="shared" si="6"/>
        <v>9.2321685988335372E-3</v>
      </c>
      <c r="N60" s="279">
        <v>63.9</v>
      </c>
      <c r="O60" s="278" t="str">
        <f t="shared" si="7"/>
        <v>Y</v>
      </c>
    </row>
    <row r="61" spans="2:15" x14ac:dyDescent="0.2">
      <c r="B61" s="155" t="s">
        <v>308</v>
      </c>
      <c r="C61" s="88" t="s">
        <v>99</v>
      </c>
      <c r="D61" s="88" t="s">
        <v>99</v>
      </c>
      <c r="E61" s="88"/>
      <c r="F61" s="89" t="s">
        <v>309</v>
      </c>
      <c r="G61" s="395">
        <f>LOSL.Tox!G52</f>
        <v>1.2809560423890275E-4</v>
      </c>
      <c r="H61" s="395">
        <f t="shared" si="2"/>
        <v>5.6105874656639412E-4</v>
      </c>
      <c r="I61" s="166">
        <f t="shared" si="3"/>
        <v>2.3984620937692153E-4</v>
      </c>
      <c r="J61" s="178">
        <f t="shared" si="4"/>
        <v>1.2809560423890275E-4</v>
      </c>
      <c r="K61" s="289">
        <f t="shared" si="0"/>
        <v>5.6105874656639412E-4</v>
      </c>
      <c r="L61" s="290">
        <f t="shared" si="5"/>
        <v>2.3984620937692153E-4</v>
      </c>
      <c r="M61" s="276">
        <f t="shared" si="6"/>
        <v>3.0742945017336659E-3</v>
      </c>
      <c r="N61" s="279">
        <v>40.200000000000003</v>
      </c>
      <c r="O61" s="278" t="str">
        <f t="shared" si="7"/>
        <v>Y</v>
      </c>
    </row>
    <row r="62" spans="2:15" x14ac:dyDescent="0.2">
      <c r="B62" s="161" t="s">
        <v>310</v>
      </c>
      <c r="C62" s="269" t="s">
        <v>99</v>
      </c>
      <c r="D62" s="269" t="s">
        <v>99</v>
      </c>
      <c r="E62" s="269" t="s">
        <v>99</v>
      </c>
      <c r="F62" s="133" t="s">
        <v>311</v>
      </c>
      <c r="G62" s="395">
        <f>LOSL.Tox!G53+'Batch - Prod.Tox'!G43</f>
        <v>0.40651581445663426</v>
      </c>
      <c r="H62" s="395">
        <f t="shared" si="2"/>
        <v>1.7805392673200582</v>
      </c>
      <c r="I62" s="166">
        <f t="shared" si="3"/>
        <v>0.76116021098860198</v>
      </c>
      <c r="J62" s="165">
        <f t="shared" si="4"/>
        <v>0.40651581445663426</v>
      </c>
      <c r="K62" s="198">
        <f t="shared" si="0"/>
        <v>1.7805392673200582</v>
      </c>
      <c r="L62" s="170">
        <f t="shared" si="5"/>
        <v>0.76116021098860198</v>
      </c>
      <c r="M62" s="276">
        <f t="shared" si="6"/>
        <v>9.7563795469592218</v>
      </c>
      <c r="N62" s="277">
        <v>24</v>
      </c>
      <c r="O62" s="278" t="str">
        <f t="shared" si="7"/>
        <v>Y</v>
      </c>
    </row>
    <row r="63" spans="2:15" ht="13.5" thickBot="1" x14ac:dyDescent="0.25">
      <c r="B63" s="163" t="s">
        <v>312</v>
      </c>
      <c r="C63" s="270" t="s">
        <v>99</v>
      </c>
      <c r="D63" s="270" t="s">
        <v>99</v>
      </c>
      <c r="E63" s="270"/>
      <c r="F63" s="134" t="s">
        <v>327</v>
      </c>
      <c r="G63" s="469">
        <f>LOSL.Tox!G54+'Batch - Prod.Tox'!G44</f>
        <v>1.0965700233450686</v>
      </c>
      <c r="H63" s="469">
        <f t="shared" si="2"/>
        <v>4.8029767022514003</v>
      </c>
      <c r="I63" s="470">
        <f t="shared" si="3"/>
        <v>2.0532177117113064</v>
      </c>
      <c r="J63" s="201">
        <f t="shared" si="4"/>
        <v>1.0965700233450686</v>
      </c>
      <c r="K63" s="286">
        <f t="shared" si="0"/>
        <v>4.8029767022514003</v>
      </c>
      <c r="L63" s="287">
        <f t="shared" si="5"/>
        <v>2.0532177117113064</v>
      </c>
      <c r="M63" s="281">
        <f t="shared" si="6"/>
        <v>26.317680560281644</v>
      </c>
      <c r="N63" s="288">
        <v>52.2</v>
      </c>
      <c r="O63" s="283" t="str">
        <f t="shared" si="7"/>
        <v>Y</v>
      </c>
    </row>
    <row r="64" spans="2:15" ht="13.5" thickTop="1" x14ac:dyDescent="0.2">
      <c r="G64" s="209"/>
      <c r="H64" s="259"/>
      <c r="I64" s="473" t="s">
        <v>354</v>
      </c>
      <c r="J64" s="474">
        <f>SUM(J16:J63)</f>
        <v>3.204778373288768</v>
      </c>
      <c r="K64" s="284">
        <f>SUM(K16:K63)</f>
        <v>14.036929275004805</v>
      </c>
      <c r="L64" s="285">
        <f>SUM(L16:L63)</f>
        <v>6.0006270261458887</v>
      </c>
    </row>
    <row r="65" spans="7:12" ht="13.5" thickBot="1" x14ac:dyDescent="0.25">
      <c r="G65" s="260"/>
      <c r="H65" s="397"/>
      <c r="I65" s="471" t="s">
        <v>335</v>
      </c>
      <c r="J65" s="472"/>
      <c r="K65" s="203" t="str">
        <f>IF(COUNTIF(K16:K63,"&gt;=10"),"Y","N")</f>
        <v>N</v>
      </c>
      <c r="L65" s="204" t="str">
        <f>IF(COUNTIF(L16:L63,"&gt;=10"),"Y","N")</f>
        <v>N</v>
      </c>
    </row>
    <row r="66" spans="7:12" ht="13.5" thickTop="1" x14ac:dyDescent="0.2"/>
    <row r="67" spans="7:12" x14ac:dyDescent="0.2">
      <c r="J67" s="205"/>
    </row>
    <row r="70" spans="7:12" x14ac:dyDescent="0.2">
      <c r="G70" s="206"/>
      <c r="H70" s="206"/>
      <c r="I70" s="206"/>
      <c r="J70" s="206"/>
      <c r="K70" s="206"/>
    </row>
    <row r="71" spans="7:12" x14ac:dyDescent="0.2">
      <c r="G71" s="206"/>
      <c r="H71" s="206"/>
      <c r="I71" s="206"/>
      <c r="J71" s="207"/>
      <c r="K71" s="207"/>
    </row>
  </sheetData>
  <mergeCells count="17">
    <mergeCell ref="A3:O3"/>
    <mergeCell ref="M13:M14"/>
    <mergeCell ref="G13:I13"/>
    <mergeCell ref="G14:G15"/>
    <mergeCell ref="J13:L13"/>
    <mergeCell ref="J12:L12"/>
    <mergeCell ref="J14:J15"/>
    <mergeCell ref="A1:O1"/>
    <mergeCell ref="A2:O2"/>
    <mergeCell ref="E13:E15"/>
    <mergeCell ref="F13:F15"/>
    <mergeCell ref="B12:G12"/>
    <mergeCell ref="B13:B15"/>
    <mergeCell ref="C13:C15"/>
    <mergeCell ref="D13:D15"/>
    <mergeCell ref="N13:O14"/>
    <mergeCell ref="M12:O12"/>
  </mergeCells>
  <phoneticPr fontId="3" type="noConversion"/>
  <pageMargins left="0.75" right="0.75" top="1" bottom="1" header="0.5" footer="0.5"/>
  <pageSetup scale="54" orientation="portrait" r:id="rId1"/>
  <headerFooter alignWithMargins="0">
    <oddHeader>&amp;ROutput - Batch.Toxics - &amp;D</oddHeader>
  </headerFooter>
  <colBreaks count="1" manualBreakCount="1">
    <brk id="15"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AFF1-47A1-43AE-8276-ED4175AF808E}">
  <sheetPr codeName="Sheet13">
    <tabColor theme="1"/>
  </sheetPr>
  <dimension ref="A1:T80"/>
  <sheetViews>
    <sheetView zoomScaleNormal="100" workbookViewId="0">
      <selection activeCell="A2" sqref="A2:L2"/>
    </sheetView>
  </sheetViews>
  <sheetFormatPr defaultRowHeight="12.75" x14ac:dyDescent="0.2"/>
  <cols>
    <col min="1" max="1" width="14.85546875" customWidth="1"/>
    <col min="2" max="2" width="10.85546875" customWidth="1"/>
    <col min="3" max="3" width="14.7109375" customWidth="1"/>
    <col min="6" max="6" width="14.5703125" customWidth="1"/>
    <col min="9" max="9" width="14.42578125" customWidth="1"/>
    <col min="12" max="12" width="14.85546875" customWidth="1"/>
    <col min="15" max="15" width="14.85546875" customWidth="1"/>
    <col min="18" max="18" width="15" customWidth="1"/>
    <col min="20" max="20" width="10.5703125" bestFit="1" customWidth="1"/>
  </cols>
  <sheetData>
    <row r="1" spans="1:12" ht="20.25" x14ac:dyDescent="0.3">
      <c r="A1" s="598" t="s">
        <v>509</v>
      </c>
      <c r="B1" s="598"/>
      <c r="C1" s="598"/>
      <c r="D1" s="598"/>
      <c r="E1" s="598"/>
      <c r="F1" s="598"/>
      <c r="G1" s="598"/>
      <c r="H1" s="598"/>
      <c r="I1" s="598"/>
      <c r="J1" s="598"/>
      <c r="K1" s="598"/>
      <c r="L1" s="598"/>
    </row>
    <row r="2" spans="1:12" x14ac:dyDescent="0.2">
      <c r="A2" s="599">
        <v>40876</v>
      </c>
      <c r="B2" s="599"/>
      <c r="C2" s="599"/>
      <c r="D2" s="599"/>
      <c r="E2" s="599"/>
      <c r="F2" s="599"/>
      <c r="G2" s="599"/>
      <c r="H2" s="599"/>
      <c r="I2" s="599"/>
      <c r="J2" s="599"/>
      <c r="K2" s="599"/>
      <c r="L2" s="599"/>
    </row>
    <row r="3" spans="1:12" ht="39.75" customHeight="1" x14ac:dyDescent="0.2">
      <c r="A3" s="606" t="s">
        <v>522</v>
      </c>
      <c r="B3" s="606"/>
      <c r="C3" s="606"/>
      <c r="D3" s="606"/>
      <c r="E3" s="606"/>
      <c r="F3" s="606"/>
      <c r="G3" s="606"/>
      <c r="H3" s="606"/>
      <c r="I3" s="606"/>
      <c r="J3" s="606"/>
      <c r="K3" s="606"/>
      <c r="L3" s="606"/>
    </row>
    <row r="5" spans="1:12" x14ac:dyDescent="0.2">
      <c r="B5" s="1" t="s">
        <v>541</v>
      </c>
      <c r="I5" s="146" t="s">
        <v>255</v>
      </c>
    </row>
    <row r="6" spans="1:12" x14ac:dyDescent="0.2">
      <c r="B6" s="502">
        <f>Inputs!D16</f>
        <v>400</v>
      </c>
      <c r="C6" t="s">
        <v>0</v>
      </c>
      <c r="I6" s="146"/>
    </row>
    <row r="7" spans="1:12" x14ac:dyDescent="0.2">
      <c r="B7" s="503">
        <f>Inputs!B76</f>
        <v>3744.8</v>
      </c>
      <c r="C7" t="s">
        <v>389</v>
      </c>
      <c r="I7" s="146"/>
    </row>
    <row r="8" spans="1:12" x14ac:dyDescent="0.2">
      <c r="B8" s="502">
        <f>Inputs!D32</f>
        <v>50</v>
      </c>
      <c r="C8" t="s">
        <v>548</v>
      </c>
      <c r="I8" s="3" t="s">
        <v>22</v>
      </c>
    </row>
    <row r="9" spans="1:12" x14ac:dyDescent="0.2">
      <c r="B9" s="502">
        <f>Inputs!D33</f>
        <v>3</v>
      </c>
      <c r="C9" t="s">
        <v>549</v>
      </c>
    </row>
    <row r="10" spans="1:12" x14ac:dyDescent="0.2">
      <c r="B10" s="502">
        <f>Inputs!D34</f>
        <v>2</v>
      </c>
      <c r="C10" t="s">
        <v>550</v>
      </c>
    </row>
    <row r="11" spans="1:12" x14ac:dyDescent="0.2">
      <c r="B11" s="502">
        <f>Inputs!D35</f>
        <v>2</v>
      </c>
      <c r="C11" t="s">
        <v>551</v>
      </c>
    </row>
    <row r="12" spans="1:12" x14ac:dyDescent="0.2">
      <c r="B12" s="502">
        <f>Inputs!D36</f>
        <v>1</v>
      </c>
      <c r="C12" t="s">
        <v>552</v>
      </c>
    </row>
    <row r="13" spans="1:12" x14ac:dyDescent="0.2">
      <c r="B13" s="502">
        <f>Inputs!D37</f>
        <v>1</v>
      </c>
      <c r="C13" t="s">
        <v>553</v>
      </c>
    </row>
    <row r="14" spans="1:12" x14ac:dyDescent="0.2">
      <c r="B14" s="502">
        <f>Inputs!D39</f>
        <v>1.5</v>
      </c>
      <c r="C14" t="s">
        <v>554</v>
      </c>
    </row>
    <row r="15" spans="1:12" x14ac:dyDescent="0.2">
      <c r="B15" s="502">
        <f>Inputs!D57</f>
        <v>95</v>
      </c>
      <c r="C15" t="s">
        <v>584</v>
      </c>
    </row>
    <row r="16" spans="1:12" x14ac:dyDescent="0.2">
      <c r="B16" s="502">
        <f>Inputs!D58</f>
        <v>4.9000000000000004</v>
      </c>
      <c r="C16" t="s">
        <v>585</v>
      </c>
    </row>
    <row r="17" spans="2:7" x14ac:dyDescent="0.2">
      <c r="B17" s="502">
        <f>Inputs!D59</f>
        <v>5</v>
      </c>
      <c r="C17" t="s">
        <v>586</v>
      </c>
    </row>
    <row r="18" spans="2:7" x14ac:dyDescent="0.2">
      <c r="B18" s="502">
        <f>Inputs!D62</f>
        <v>7.46</v>
      </c>
      <c r="C18" t="s">
        <v>555</v>
      </c>
    </row>
    <row r="19" spans="2:7" x14ac:dyDescent="0.2">
      <c r="B19" s="502">
        <f>Inputs!D63</f>
        <v>16.399999999999999</v>
      </c>
      <c r="C19" t="s">
        <v>556</v>
      </c>
    </row>
    <row r="20" spans="2:7" x14ac:dyDescent="0.2">
      <c r="B20" s="502">
        <f>Inputs!D64</f>
        <v>89</v>
      </c>
      <c r="C20" t="s">
        <v>557</v>
      </c>
    </row>
    <row r="22" spans="2:7" ht="13.5" thickBot="1" x14ac:dyDescent="0.25"/>
    <row r="23" spans="2:7" ht="13.5" thickTop="1" x14ac:dyDescent="0.2">
      <c r="C23" s="604" t="s">
        <v>4</v>
      </c>
      <c r="D23" s="601" t="s">
        <v>357</v>
      </c>
      <c r="E23" s="603"/>
      <c r="F23" s="601" t="s">
        <v>358</v>
      </c>
      <c r="G23" s="602"/>
    </row>
    <row r="24" spans="2:7" ht="13.5" thickBot="1" x14ac:dyDescent="0.25">
      <c r="B24" s="499"/>
      <c r="C24" s="605"/>
      <c r="D24" s="8" t="s">
        <v>9</v>
      </c>
      <c r="E24" s="9" t="s">
        <v>10</v>
      </c>
      <c r="F24" s="8" t="s">
        <v>9</v>
      </c>
      <c r="G24" s="10" t="s">
        <v>10</v>
      </c>
    </row>
    <row r="25" spans="2:7" x14ac:dyDescent="0.2">
      <c r="B25" s="145" t="s">
        <v>544</v>
      </c>
      <c r="C25" s="434" t="s">
        <v>1</v>
      </c>
      <c r="D25" s="521">
        <f>MAX(D49,D50+D51)</f>
        <v>0.15959999999999999</v>
      </c>
      <c r="E25" s="520">
        <f>MAX(E49,E50+E51)</f>
        <v>0.699048</v>
      </c>
      <c r="F25" s="521">
        <f>MAX(M49,M50+M51)</f>
        <v>0.15959999999999999</v>
      </c>
      <c r="G25" s="522">
        <f>MAX(N49,N50+N51)</f>
        <v>0.29883504</v>
      </c>
    </row>
    <row r="26" spans="2:7" x14ac:dyDescent="0.2">
      <c r="B26" s="7"/>
      <c r="C26" s="152" t="s">
        <v>2</v>
      </c>
      <c r="D26" s="523">
        <f>MAX(G49,G50+G51)</f>
        <v>5.2440000000000001E-2</v>
      </c>
      <c r="E26" s="528">
        <f>MAX(H49,H50+H51)</f>
        <v>0.22968719999999998</v>
      </c>
      <c r="F26" s="523">
        <f>MAX(P49,P50+P51)</f>
        <v>5.2440000000000001E-2</v>
      </c>
      <c r="G26" s="524">
        <f>MAX(Q49,Q50+Q51)</f>
        <v>9.8188656000000013E-2</v>
      </c>
    </row>
    <row r="27" spans="2:7" ht="13.5" thickBot="1" x14ac:dyDescent="0.25">
      <c r="B27" s="7"/>
      <c r="C27" s="500" t="s">
        <v>412</v>
      </c>
      <c r="D27" s="525">
        <f>MAX(J49,J50+J51)</f>
        <v>1.482E-2</v>
      </c>
      <c r="E27" s="529">
        <f>MAX(K49,K50+K51)</f>
        <v>6.4911599999999986E-2</v>
      </c>
      <c r="F27" s="525">
        <f>MAX(S49,S50+S51)</f>
        <v>1.482E-2</v>
      </c>
      <c r="G27" s="526">
        <f>MAX(T49,T50+T51)</f>
        <v>2.7748968000000002E-2</v>
      </c>
    </row>
    <row r="28" spans="2:7" x14ac:dyDescent="0.2">
      <c r="B28" s="145" t="s">
        <v>543</v>
      </c>
      <c r="C28" s="434" t="s">
        <v>1</v>
      </c>
      <c r="D28" s="521">
        <f>MAX(D57,D58+D59)</f>
        <v>1.6720000000000002</v>
      </c>
      <c r="E28" s="520">
        <f>MAX(E57,E58+E59)</f>
        <v>7.323360000000001</v>
      </c>
      <c r="F28" s="521">
        <f>MAX(M57,M58+M59)</f>
        <v>1.6720000000000002</v>
      </c>
      <c r="G28" s="522">
        <f>MAX(N57,N58+N59)</f>
        <v>3.1306528000000005</v>
      </c>
    </row>
    <row r="29" spans="2:7" x14ac:dyDescent="0.2">
      <c r="B29" s="7"/>
      <c r="C29" s="152" t="s">
        <v>2</v>
      </c>
      <c r="D29" s="523">
        <f>MAX(G57,G58+G59)</f>
        <v>0.56240000000000001</v>
      </c>
      <c r="E29" s="528">
        <f>MAX(H57,H58+H59)</f>
        <v>2.4633119999999997</v>
      </c>
      <c r="F29" s="523">
        <f>MAX(P57,P58+P59)</f>
        <v>0.56240000000000001</v>
      </c>
      <c r="G29" s="524">
        <f>MAX(Q57,Q58+Q59)</f>
        <v>1.0530377600000003</v>
      </c>
    </row>
    <row r="30" spans="2:7" ht="13.5" thickBot="1" x14ac:dyDescent="0.25">
      <c r="B30" s="7"/>
      <c r="C30" s="500" t="s">
        <v>412</v>
      </c>
      <c r="D30" s="525">
        <f>MAX(J57,J58+J59)</f>
        <v>3.7999999999999999E-2</v>
      </c>
      <c r="E30" s="529">
        <f>MAX(K57,K58+K59)</f>
        <v>0.16644</v>
      </c>
      <c r="F30" s="525">
        <f>MAX(S57,S58+S59)</f>
        <v>3.7999999999999999E-2</v>
      </c>
      <c r="G30" s="526">
        <f>MAX(T57,T58+T59)</f>
        <v>7.1151199999999998E-2</v>
      </c>
    </row>
    <row r="31" spans="2:7" x14ac:dyDescent="0.2">
      <c r="B31" s="145" t="s">
        <v>567</v>
      </c>
      <c r="C31" s="434" t="s">
        <v>1</v>
      </c>
      <c r="D31" s="521">
        <f>D65</f>
        <v>0.24</v>
      </c>
      <c r="E31" s="520">
        <f>E65</f>
        <v>1.0512000000000001</v>
      </c>
      <c r="F31" s="521">
        <f>M65</f>
        <v>0.24</v>
      </c>
      <c r="G31" s="522">
        <f>N65</f>
        <v>0.44937600000000005</v>
      </c>
    </row>
    <row r="32" spans="2:7" x14ac:dyDescent="0.2">
      <c r="B32" s="7"/>
      <c r="C32" s="152" t="s">
        <v>2</v>
      </c>
      <c r="D32" s="523">
        <f>G65</f>
        <v>0.108</v>
      </c>
      <c r="E32" s="528">
        <f>H65</f>
        <v>0.47304000000000002</v>
      </c>
      <c r="F32" s="523">
        <f>P65</f>
        <v>0.108</v>
      </c>
      <c r="G32" s="524">
        <f>Q65</f>
        <v>0.20221919999999999</v>
      </c>
    </row>
    <row r="33" spans="1:20" ht="13.5" thickBot="1" x14ac:dyDescent="0.25">
      <c r="B33" s="7"/>
      <c r="C33" s="500" t="s">
        <v>412</v>
      </c>
      <c r="D33" s="525">
        <f>J65</f>
        <v>0.02</v>
      </c>
      <c r="E33" s="529">
        <f>K65</f>
        <v>8.7600000000000011E-2</v>
      </c>
      <c r="F33" s="525">
        <f>S65</f>
        <v>0.02</v>
      </c>
      <c r="G33" s="526">
        <f>T65</f>
        <v>3.7448000000000002E-2</v>
      </c>
    </row>
    <row r="34" spans="1:20" x14ac:dyDescent="0.2">
      <c r="B34" s="145" t="s">
        <v>545</v>
      </c>
      <c r="C34" s="434" t="s">
        <v>1</v>
      </c>
      <c r="D34" s="521">
        <f>SUM(D71:D72)</f>
        <v>0.86349980195815634</v>
      </c>
      <c r="E34" s="520">
        <f>SUM(E71:E72)</f>
        <v>3.7821291325767246</v>
      </c>
      <c r="F34" s="521">
        <f>SUM(M71:M72)</f>
        <v>0.86349980195815634</v>
      </c>
      <c r="G34" s="522">
        <f>SUM(N71:N72)</f>
        <v>1.6168170291864519</v>
      </c>
    </row>
    <row r="35" spans="1:20" x14ac:dyDescent="0.2">
      <c r="B35" s="7"/>
      <c r="C35" s="152" t="s">
        <v>2</v>
      </c>
      <c r="D35" s="523">
        <f>SUM(G71:G72)</f>
        <v>0.40841206849372258</v>
      </c>
      <c r="E35" s="528">
        <f>SUM(H71:H72)</f>
        <v>1.7888448600025049</v>
      </c>
      <c r="F35" s="523">
        <f>SUM(P71:P72)</f>
        <v>0.40841206849372258</v>
      </c>
      <c r="G35" s="524">
        <f>SUM(Q71:Q72)</f>
        <v>0.76471075704764624</v>
      </c>
    </row>
    <row r="36" spans="1:20" ht="13.5" thickBot="1" x14ac:dyDescent="0.25">
      <c r="B36" s="7"/>
      <c r="C36" s="500" t="s">
        <v>412</v>
      </c>
      <c r="D36" s="525">
        <f>SUM(J71:J72)</f>
        <v>6.1845256086192277E-2</v>
      </c>
      <c r="E36" s="529">
        <f>SUM(K71:K72)</f>
        <v>0.27088222165752218</v>
      </c>
      <c r="F36" s="525">
        <f>SUM(S71:S72)</f>
        <v>6.1845256086192277E-2</v>
      </c>
      <c r="G36" s="526">
        <f>SUM(T71:T72)</f>
        <v>0.11579905749578642</v>
      </c>
    </row>
    <row r="37" spans="1:20" x14ac:dyDescent="0.2">
      <c r="B37" s="145" t="s">
        <v>546</v>
      </c>
      <c r="C37" s="434" t="s">
        <v>1</v>
      </c>
      <c r="D37" s="521">
        <f>SUM(D79:D79)</f>
        <v>0.45478014184397164</v>
      </c>
      <c r="E37" s="520">
        <f>SUM(E79:E79)</f>
        <v>1.9919370212765957</v>
      </c>
      <c r="F37" s="521">
        <f>SUM(M79:M79)</f>
        <v>0.45478014184397164</v>
      </c>
      <c r="G37" s="522">
        <f>SUM(N79:N79)</f>
        <v>1.9919370212765957</v>
      </c>
    </row>
    <row r="38" spans="1:20" x14ac:dyDescent="0.2">
      <c r="B38" s="7"/>
      <c r="C38" s="152" t="s">
        <v>2</v>
      </c>
      <c r="D38" s="523">
        <f>SUM(G79:G79)</f>
        <v>0.22739007092198582</v>
      </c>
      <c r="E38" s="528">
        <f>SUM(H79:H79)</f>
        <v>0.99596851063829783</v>
      </c>
      <c r="F38" s="523">
        <f>SUM(P79:P79)</f>
        <v>0.22739007092198582</v>
      </c>
      <c r="G38" s="524">
        <f>SUM(Q79:Q79)</f>
        <v>0.99596851063829783</v>
      </c>
    </row>
    <row r="39" spans="1:20" ht="13.5" thickBot="1" x14ac:dyDescent="0.25">
      <c r="B39" s="7"/>
      <c r="C39" s="416" t="s">
        <v>412</v>
      </c>
      <c r="D39" s="527" t="s">
        <v>35</v>
      </c>
      <c r="E39" s="530" t="s">
        <v>35</v>
      </c>
      <c r="F39" s="527" t="s">
        <v>35</v>
      </c>
      <c r="G39" s="531" t="s">
        <v>35</v>
      </c>
    </row>
    <row r="40" spans="1:20" ht="13.5" thickTop="1" x14ac:dyDescent="0.2"/>
    <row r="41" spans="1:20" ht="12.75" customHeight="1" x14ac:dyDescent="0.2">
      <c r="B41" t="s">
        <v>582</v>
      </c>
      <c r="C41" s="646" t="s">
        <v>583</v>
      </c>
      <c r="D41" s="646"/>
      <c r="E41" s="646"/>
      <c r="F41" s="646"/>
      <c r="G41" s="646"/>
      <c r="H41" s="646"/>
      <c r="I41" s="646"/>
    </row>
    <row r="42" spans="1:20" x14ac:dyDescent="0.2">
      <c r="C42" s="646"/>
      <c r="D42" s="646"/>
      <c r="E42" s="646"/>
      <c r="F42" s="646"/>
      <c r="G42" s="646"/>
      <c r="H42" s="646"/>
      <c r="I42" s="646"/>
    </row>
    <row r="43" spans="1:20" x14ac:dyDescent="0.2">
      <c r="C43" s="646"/>
      <c r="D43" s="646"/>
      <c r="E43" s="646"/>
      <c r="F43" s="646"/>
      <c r="G43" s="646"/>
      <c r="H43" s="646"/>
      <c r="I43" s="646"/>
    </row>
    <row r="44" spans="1:20" ht="13.5" thickBot="1" x14ac:dyDescent="0.25"/>
    <row r="45" spans="1:20" ht="13.5" thickTop="1" x14ac:dyDescent="0.2">
      <c r="A45" s="4" t="s">
        <v>558</v>
      </c>
      <c r="B45" s="208"/>
      <c r="C45" s="641" t="s">
        <v>362</v>
      </c>
      <c r="D45" s="638"/>
      <c r="E45" s="638"/>
      <c r="F45" s="638"/>
      <c r="G45" s="638"/>
      <c r="H45" s="638"/>
      <c r="I45" s="638"/>
      <c r="J45" s="638"/>
      <c r="K45" s="639"/>
      <c r="L45" s="641" t="s">
        <v>17</v>
      </c>
      <c r="M45" s="638"/>
      <c r="N45" s="638"/>
      <c r="O45" s="638"/>
      <c r="P45" s="638"/>
      <c r="Q45" s="638"/>
      <c r="R45" s="638"/>
      <c r="S45" s="638"/>
      <c r="T45" s="642"/>
    </row>
    <row r="46" spans="1:20" ht="13.5" thickBot="1" x14ac:dyDescent="0.25">
      <c r="A46" s="5"/>
      <c r="B46" s="492"/>
      <c r="C46" s="630" t="s">
        <v>1</v>
      </c>
      <c r="D46" s="630"/>
      <c r="E46" s="630"/>
      <c r="F46" s="630" t="s">
        <v>2</v>
      </c>
      <c r="G46" s="630"/>
      <c r="H46" s="630"/>
      <c r="I46" s="630" t="s">
        <v>412</v>
      </c>
      <c r="J46" s="630"/>
      <c r="K46" s="630"/>
      <c r="L46" s="630" t="s">
        <v>1</v>
      </c>
      <c r="M46" s="630"/>
      <c r="N46" s="630"/>
      <c r="O46" s="630" t="s">
        <v>2</v>
      </c>
      <c r="P46" s="630"/>
      <c r="Q46" s="630"/>
      <c r="R46" s="630" t="s">
        <v>412</v>
      </c>
      <c r="S46" s="630"/>
      <c r="T46" s="645"/>
    </row>
    <row r="47" spans="1:20" x14ac:dyDescent="0.2">
      <c r="A47" s="5" t="s">
        <v>559</v>
      </c>
      <c r="B47" s="643" t="s">
        <v>561</v>
      </c>
      <c r="C47" s="23" t="s">
        <v>5</v>
      </c>
      <c r="D47" s="632" t="s">
        <v>8</v>
      </c>
      <c r="E47" s="640"/>
      <c r="F47" s="23" t="s">
        <v>5</v>
      </c>
      <c r="G47" s="632" t="s">
        <v>8</v>
      </c>
      <c r="H47" s="640"/>
      <c r="I47" s="23" t="s">
        <v>5</v>
      </c>
      <c r="J47" s="632" t="s">
        <v>8</v>
      </c>
      <c r="K47" s="640"/>
      <c r="L47" s="23" t="s">
        <v>5</v>
      </c>
      <c r="M47" s="632" t="s">
        <v>8</v>
      </c>
      <c r="N47" s="640"/>
      <c r="O47" s="23" t="s">
        <v>5</v>
      </c>
      <c r="P47" s="632" t="s">
        <v>8</v>
      </c>
      <c r="Q47" s="640"/>
      <c r="R47" s="23" t="s">
        <v>5</v>
      </c>
      <c r="S47" s="632" t="s">
        <v>8</v>
      </c>
      <c r="T47" s="633"/>
    </row>
    <row r="48" spans="1:20" ht="13.5" thickBot="1" x14ac:dyDescent="0.25">
      <c r="A48" s="5" t="s">
        <v>560</v>
      </c>
      <c r="B48" s="644"/>
      <c r="C48" s="24" t="s">
        <v>6</v>
      </c>
      <c r="D48" s="8" t="s">
        <v>9</v>
      </c>
      <c r="E48" s="22" t="s">
        <v>10</v>
      </c>
      <c r="F48" s="24" t="s">
        <v>6</v>
      </c>
      <c r="G48" s="8" t="s">
        <v>9</v>
      </c>
      <c r="H48" s="22" t="s">
        <v>10</v>
      </c>
      <c r="I48" s="24" t="s">
        <v>6</v>
      </c>
      <c r="J48" s="8" t="s">
        <v>9</v>
      </c>
      <c r="K48" s="22" t="s">
        <v>10</v>
      </c>
      <c r="L48" s="24" t="s">
        <v>6</v>
      </c>
      <c r="M48" s="8" t="s">
        <v>9</v>
      </c>
      <c r="N48" s="22" t="s">
        <v>10</v>
      </c>
      <c r="O48" s="24" t="s">
        <v>6</v>
      </c>
      <c r="P48" s="8" t="s">
        <v>9</v>
      </c>
      <c r="Q48" s="22" t="s">
        <v>10</v>
      </c>
      <c r="R48" s="24" t="s">
        <v>6</v>
      </c>
      <c r="S48" s="8" t="s">
        <v>9</v>
      </c>
      <c r="T48" s="10" t="s">
        <v>10</v>
      </c>
    </row>
    <row r="49" spans="1:20" x14ac:dyDescent="0.2">
      <c r="A49" s="5"/>
      <c r="B49" s="493" t="s">
        <v>562</v>
      </c>
      <c r="C49" s="571">
        <v>1.3999999999999999E-4</v>
      </c>
      <c r="D49" s="568">
        <f>$B$6*($B$15/100)*C49*$B$9</f>
        <v>0.15959999999999999</v>
      </c>
      <c r="E49" s="569">
        <f>D49*8760/2000</f>
        <v>0.699048</v>
      </c>
      <c r="F49" s="577">
        <v>4.6E-5</v>
      </c>
      <c r="G49" s="521">
        <f>$B$6*($B$15/100)*F49*$B$9</f>
        <v>5.2440000000000001E-2</v>
      </c>
      <c r="H49" s="547">
        <f>G49*8760/2000</f>
        <v>0.22968719999999998</v>
      </c>
      <c r="I49" s="577">
        <v>1.2999999999999999E-5</v>
      </c>
      <c r="J49" s="583">
        <f>$B$6*($B$15/100)*I49*$B$9</f>
        <v>1.482E-2</v>
      </c>
      <c r="K49" s="580">
        <f>J49*8760/2000</f>
        <v>6.4911599999999986E-2</v>
      </c>
      <c r="L49" s="572">
        <v>1.3999999999999999E-4</v>
      </c>
      <c r="M49" s="521">
        <f>$B$6*($B$15/100)*L49*$B$9</f>
        <v>0.15959999999999999</v>
      </c>
      <c r="N49" s="547">
        <f>M49*$B$7/2000</f>
        <v>0.29883504</v>
      </c>
      <c r="O49" s="577">
        <v>4.6E-5</v>
      </c>
      <c r="P49" s="521">
        <f>$B$6*($B$15/100)*O49*$B$9</f>
        <v>5.2440000000000001E-2</v>
      </c>
      <c r="Q49" s="547">
        <f>P49*$B$7/2000</f>
        <v>9.8188656000000013E-2</v>
      </c>
      <c r="R49" s="577">
        <v>1.2999999999999999E-5</v>
      </c>
      <c r="S49" s="583">
        <f>$B$6*($B$15/100)*R49*$B$9</f>
        <v>1.482E-2</v>
      </c>
      <c r="T49" s="586">
        <f>S49*$B$7/2000</f>
        <v>2.7748968000000002E-2</v>
      </c>
    </row>
    <row r="50" spans="1:20" x14ac:dyDescent="0.2">
      <c r="A50" s="5"/>
      <c r="B50" s="513" t="s">
        <v>565</v>
      </c>
      <c r="C50" s="575">
        <v>1.3999999999999999E-4</v>
      </c>
      <c r="D50" s="566">
        <f>$B$6*($B$15/100-$B$8/100)*C50*$B$9</f>
        <v>7.5599999999999973E-2</v>
      </c>
      <c r="E50" s="570">
        <f>D50*8760/2000</f>
        <v>0.33112799999999987</v>
      </c>
      <c r="F50" s="578">
        <v>4.6E-5</v>
      </c>
      <c r="G50" s="566">
        <f>$B$6*($B$15/100-$B$8/100)*F50*$B$9</f>
        <v>2.4839999999999997E-2</v>
      </c>
      <c r="H50" s="567">
        <f>G50*8760/2000</f>
        <v>0.10879919999999998</v>
      </c>
      <c r="I50" s="578">
        <v>1.2999999999999999E-5</v>
      </c>
      <c r="J50" s="584">
        <f>$B$6*($B$15/100-$B$8/100)*I50*$B$9</f>
        <v>7.0199999999999985E-3</v>
      </c>
      <c r="K50" s="581">
        <f>J50*8760/2000</f>
        <v>3.0747599999999996E-2</v>
      </c>
      <c r="L50" s="573">
        <v>1.3999999999999999E-4</v>
      </c>
      <c r="M50" s="566">
        <f>$B$6*($B$15/100-$B$8/100)*L50*$B$9</f>
        <v>7.5599999999999973E-2</v>
      </c>
      <c r="N50" s="567">
        <f>M50*$B$7/2000</f>
        <v>0.14155343999999997</v>
      </c>
      <c r="O50" s="578">
        <v>4.6E-5</v>
      </c>
      <c r="P50" s="566">
        <f>$B$6*($B$15/100-$B$8/100)*O50*$B$9</f>
        <v>2.4839999999999997E-2</v>
      </c>
      <c r="Q50" s="567">
        <f>P50*$B$7/2000</f>
        <v>4.6510415999999999E-2</v>
      </c>
      <c r="R50" s="578">
        <v>1.2999999999999999E-5</v>
      </c>
      <c r="S50" s="584">
        <f>$B$6*($B$15/100-$B$8/100)*R50*$B$9</f>
        <v>7.0199999999999985E-3</v>
      </c>
      <c r="T50" s="587">
        <f>S50*$B$7/2000</f>
        <v>1.3144247999999997E-2</v>
      </c>
    </row>
    <row r="51" spans="1:20" ht="13.5" thickBot="1" x14ac:dyDescent="0.25">
      <c r="A51" s="6"/>
      <c r="B51" s="494" t="s">
        <v>563</v>
      </c>
      <c r="C51" s="576">
        <v>1.3999999999999999E-4</v>
      </c>
      <c r="D51" s="527">
        <f>$B$6*($B$8/100)*$B$11*C51</f>
        <v>5.5999999999999994E-2</v>
      </c>
      <c r="E51" s="557">
        <f>D51*8760/2000</f>
        <v>0.24527999999999997</v>
      </c>
      <c r="F51" s="579">
        <v>4.6E-5</v>
      </c>
      <c r="G51" s="527">
        <f>$B$6*($B$8/100)*$B$11*F51</f>
        <v>1.84E-2</v>
      </c>
      <c r="H51" s="558">
        <f>G51*8760/2000</f>
        <v>8.0591999999999997E-2</v>
      </c>
      <c r="I51" s="579">
        <v>1.2999999999999999E-5</v>
      </c>
      <c r="J51" s="585">
        <f>$B$6*($B$8/100)*$B$11*I51</f>
        <v>5.1999999999999998E-3</v>
      </c>
      <c r="K51" s="582">
        <f>J51*8760/2000</f>
        <v>2.2776000000000001E-2</v>
      </c>
      <c r="L51" s="574">
        <v>1.3999999999999999E-4</v>
      </c>
      <c r="M51" s="527">
        <f>$B$6*($B$8/100)*$B$11*L51</f>
        <v>5.5999999999999994E-2</v>
      </c>
      <c r="N51" s="558">
        <f>M51*$B$7/2000</f>
        <v>0.1048544</v>
      </c>
      <c r="O51" s="579">
        <v>4.6E-5</v>
      </c>
      <c r="P51" s="527">
        <f>$B$6*($B$8/100)*$B$11*O51</f>
        <v>1.84E-2</v>
      </c>
      <c r="Q51" s="558">
        <f>P51*$B$7/2000</f>
        <v>3.4452160000000003E-2</v>
      </c>
      <c r="R51" s="579">
        <v>1.2999999999999999E-5</v>
      </c>
      <c r="S51" s="585">
        <f>$B$6*($B$8/100)*$B$11*R51</f>
        <v>5.1999999999999998E-3</v>
      </c>
      <c r="T51" s="588">
        <f>S51*$B$7/2000</f>
        <v>9.7364800000000005E-3</v>
      </c>
    </row>
    <row r="52" spans="1:20" ht="14.25" thickTop="1" thickBot="1" x14ac:dyDescent="0.25"/>
    <row r="53" spans="1:20" ht="13.5" thickTop="1" x14ac:dyDescent="0.2">
      <c r="A53" s="349" t="s">
        <v>566</v>
      </c>
      <c r="B53" s="208"/>
      <c r="C53" s="641" t="s">
        <v>362</v>
      </c>
      <c r="D53" s="638"/>
      <c r="E53" s="638"/>
      <c r="F53" s="638"/>
      <c r="G53" s="638"/>
      <c r="H53" s="638"/>
      <c r="I53" s="638"/>
      <c r="J53" s="638"/>
      <c r="K53" s="639"/>
      <c r="L53" s="641" t="s">
        <v>17</v>
      </c>
      <c r="M53" s="638"/>
      <c r="N53" s="638"/>
      <c r="O53" s="638"/>
      <c r="P53" s="638"/>
      <c r="Q53" s="638"/>
      <c r="R53" s="638"/>
      <c r="S53" s="638"/>
      <c r="T53" s="642"/>
    </row>
    <row r="54" spans="1:20" ht="13.5" thickBot="1" x14ac:dyDescent="0.25">
      <c r="A54" s="5"/>
      <c r="B54" s="492"/>
      <c r="C54" s="630" t="s">
        <v>1</v>
      </c>
      <c r="D54" s="630"/>
      <c r="E54" s="630"/>
      <c r="F54" s="630" t="s">
        <v>2</v>
      </c>
      <c r="G54" s="630"/>
      <c r="H54" s="630"/>
      <c r="I54" s="630" t="s">
        <v>412</v>
      </c>
      <c r="J54" s="630"/>
      <c r="K54" s="630"/>
      <c r="L54" s="630" t="s">
        <v>1</v>
      </c>
      <c r="M54" s="630"/>
      <c r="N54" s="630"/>
      <c r="O54" s="630" t="s">
        <v>2</v>
      </c>
      <c r="P54" s="630"/>
      <c r="Q54" s="630"/>
      <c r="R54" s="630" t="s">
        <v>412</v>
      </c>
      <c r="S54" s="630"/>
      <c r="T54" s="645"/>
    </row>
    <row r="55" spans="1:20" x14ac:dyDescent="0.2">
      <c r="A55" s="5" t="s">
        <v>559</v>
      </c>
      <c r="B55" s="643" t="s">
        <v>561</v>
      </c>
      <c r="C55" s="23" t="s">
        <v>5</v>
      </c>
      <c r="D55" s="632" t="s">
        <v>8</v>
      </c>
      <c r="E55" s="640"/>
      <c r="F55" s="23" t="s">
        <v>5</v>
      </c>
      <c r="G55" s="632" t="s">
        <v>8</v>
      </c>
      <c r="H55" s="640"/>
      <c r="I55" s="23" t="s">
        <v>5</v>
      </c>
      <c r="J55" s="632" t="s">
        <v>8</v>
      </c>
      <c r="K55" s="640"/>
      <c r="L55" s="23" t="s">
        <v>5</v>
      </c>
      <c r="M55" s="632" t="s">
        <v>8</v>
      </c>
      <c r="N55" s="640"/>
      <c r="O55" s="23" t="s">
        <v>5</v>
      </c>
      <c r="P55" s="632" t="s">
        <v>8</v>
      </c>
      <c r="Q55" s="640"/>
      <c r="R55" s="23" t="s">
        <v>5</v>
      </c>
      <c r="S55" s="632" t="s">
        <v>8</v>
      </c>
      <c r="T55" s="633"/>
    </row>
    <row r="56" spans="1:20" ht="13.5" thickBot="1" x14ac:dyDescent="0.25">
      <c r="A56" s="5" t="s">
        <v>560</v>
      </c>
      <c r="B56" s="644"/>
      <c r="C56" s="24" t="s">
        <v>6</v>
      </c>
      <c r="D56" s="8" t="s">
        <v>9</v>
      </c>
      <c r="E56" s="22" t="s">
        <v>10</v>
      </c>
      <c r="F56" s="24" t="s">
        <v>6</v>
      </c>
      <c r="G56" s="8" t="s">
        <v>9</v>
      </c>
      <c r="H56" s="22" t="s">
        <v>10</v>
      </c>
      <c r="I56" s="24" t="s">
        <v>6</v>
      </c>
      <c r="J56" s="8" t="s">
        <v>9</v>
      </c>
      <c r="K56" s="22" t="s">
        <v>10</v>
      </c>
      <c r="L56" s="24" t="s">
        <v>6</v>
      </c>
      <c r="M56" s="8" t="s">
        <v>9</v>
      </c>
      <c r="N56" s="22" t="s">
        <v>10</v>
      </c>
      <c r="O56" s="24" t="s">
        <v>6</v>
      </c>
      <c r="P56" s="8" t="s">
        <v>9</v>
      </c>
      <c r="Q56" s="22" t="s">
        <v>10</v>
      </c>
      <c r="R56" s="24" t="s">
        <v>6</v>
      </c>
      <c r="S56" s="8" t="s">
        <v>9</v>
      </c>
      <c r="T56" s="10" t="s">
        <v>10</v>
      </c>
    </row>
    <row r="57" spans="1:20" x14ac:dyDescent="0.2">
      <c r="A57" s="5"/>
      <c r="B57" s="493" t="s">
        <v>562</v>
      </c>
      <c r="C57" s="504">
        <v>2.2000000000000001E-3</v>
      </c>
      <c r="D57" s="568">
        <f>$B$6*($B$15/100)*C57*$B$10</f>
        <v>1.6720000000000002</v>
      </c>
      <c r="E57" s="569">
        <f>D57*8760/2000</f>
        <v>7.323360000000001</v>
      </c>
      <c r="F57" s="506">
        <v>7.3999999999999999E-4</v>
      </c>
      <c r="G57" s="521">
        <f>$B$6*($B$15/100)*F57*$B$10</f>
        <v>0.56240000000000001</v>
      </c>
      <c r="H57" s="547">
        <f>G57*8760/2000</f>
        <v>2.4633119999999997</v>
      </c>
      <c r="I57" s="577">
        <v>5.0000000000000002E-5</v>
      </c>
      <c r="J57" s="583">
        <f>$B$6*($B$15/100)*I57*$B$10</f>
        <v>3.7999999999999999E-2</v>
      </c>
      <c r="K57" s="589">
        <f>J57*8760/2000</f>
        <v>0.16644</v>
      </c>
      <c r="L57" s="508">
        <v>2.2000000000000001E-3</v>
      </c>
      <c r="M57" s="521">
        <f>$B$6*($B$15/100)*L57*$B$10</f>
        <v>1.6720000000000002</v>
      </c>
      <c r="N57" s="547">
        <f>M57*$B$7/2000</f>
        <v>3.1306528000000005</v>
      </c>
      <c r="O57" s="506">
        <v>7.3999999999999999E-4</v>
      </c>
      <c r="P57" s="521">
        <f>$B$6*($B$15/100)*O57*$B$10</f>
        <v>0.56240000000000001</v>
      </c>
      <c r="Q57" s="547">
        <f>P57*$B$7/2000</f>
        <v>1.0530377600000003</v>
      </c>
      <c r="R57" s="577">
        <v>5.0000000000000002E-5</v>
      </c>
      <c r="S57" s="583">
        <f>$B$6*($B$15/100)*R57*$B$10</f>
        <v>3.7999999999999999E-2</v>
      </c>
      <c r="T57" s="586">
        <f>S57*$B$7/2000</f>
        <v>7.1151199999999998E-2</v>
      </c>
    </row>
    <row r="58" spans="1:20" x14ac:dyDescent="0.2">
      <c r="A58" s="5"/>
      <c r="B58" s="513" t="s">
        <v>565</v>
      </c>
      <c r="C58" s="510">
        <v>2.2000000000000001E-3</v>
      </c>
      <c r="D58" s="566">
        <f>$B$6*($B$15/100-$B$8/100)*$B$10*C58</f>
        <v>0.79199999999999993</v>
      </c>
      <c r="E58" s="570">
        <f>D58*8760/2000</f>
        <v>3.4689599999999996</v>
      </c>
      <c r="F58" s="511">
        <v>7.3999999999999999E-4</v>
      </c>
      <c r="G58" s="566">
        <f>$B$6*($B$15/100-$B$8/100)*$B$10*F58</f>
        <v>0.26639999999999997</v>
      </c>
      <c r="H58" s="567">
        <f>G58*8760/2000</f>
        <v>1.1668319999999999</v>
      </c>
      <c r="I58" s="578">
        <v>5.0000000000000002E-5</v>
      </c>
      <c r="J58" s="584">
        <f>$B$6*($B$15/100-$B$8/100)*$B$10*I58</f>
        <v>1.7999999999999999E-2</v>
      </c>
      <c r="K58" s="590">
        <f>J58*8760/2000</f>
        <v>7.8839999999999993E-2</v>
      </c>
      <c r="L58" s="512">
        <v>2.2000000000000001E-3</v>
      </c>
      <c r="M58" s="566">
        <f>$B$6*($B$15/100-$B$8/100)*$B$10*L58</f>
        <v>0.79199999999999993</v>
      </c>
      <c r="N58" s="567">
        <f>M58*$B$7/2000</f>
        <v>1.4829407999999999</v>
      </c>
      <c r="O58" s="511">
        <v>7.3999999999999999E-4</v>
      </c>
      <c r="P58" s="566">
        <f>$B$6*($B$15/100-$B$8/100)*$B$10*O58</f>
        <v>0.26639999999999997</v>
      </c>
      <c r="Q58" s="567">
        <f>P58*$B$7/2000</f>
        <v>0.49880735999999998</v>
      </c>
      <c r="R58" s="578">
        <v>5.0000000000000002E-5</v>
      </c>
      <c r="S58" s="584">
        <f>$B$6*($B$15/100-$B$8/100)*$B$10*R58</f>
        <v>1.7999999999999999E-2</v>
      </c>
      <c r="T58" s="587">
        <f>S58*$B$7/2000</f>
        <v>3.3703200000000003E-2</v>
      </c>
    </row>
    <row r="59" spans="1:20" ht="13.5" thickBot="1" x14ac:dyDescent="0.25">
      <c r="A59" s="6"/>
      <c r="B59" s="494" t="s">
        <v>563</v>
      </c>
      <c r="C59" s="505">
        <v>2.2000000000000001E-3</v>
      </c>
      <c r="D59" s="527">
        <f>$B$6*($B$8/100)*$B$12*C59</f>
        <v>0.44</v>
      </c>
      <c r="E59" s="557">
        <f>D59*8760/2000</f>
        <v>1.9272</v>
      </c>
      <c r="F59" s="507">
        <v>7.3999999999999999E-4</v>
      </c>
      <c r="G59" s="527">
        <f>$B$6*($B$8/100)*$B$12*F59</f>
        <v>0.14799999999999999</v>
      </c>
      <c r="H59" s="558">
        <f>G59*8760/2000</f>
        <v>0.64824000000000004</v>
      </c>
      <c r="I59" s="579">
        <v>5.0000000000000002E-5</v>
      </c>
      <c r="J59" s="585">
        <f>$B$6*($B$8/100)*$B$12*I59</f>
        <v>0.01</v>
      </c>
      <c r="K59" s="591">
        <f>J59*8760/2000</f>
        <v>4.3800000000000006E-2</v>
      </c>
      <c r="L59" s="509">
        <v>2.2000000000000001E-3</v>
      </c>
      <c r="M59" s="527">
        <f>$B$6*($B$8/100)*$B$12*L59</f>
        <v>0.44</v>
      </c>
      <c r="N59" s="558">
        <f>M59*$B$7/2000</f>
        <v>0.82385600000000003</v>
      </c>
      <c r="O59" s="507">
        <v>7.3999999999999999E-4</v>
      </c>
      <c r="P59" s="527">
        <f>$B$6*($B$8/100)*$B$12*O59</f>
        <v>0.14799999999999999</v>
      </c>
      <c r="Q59" s="558">
        <f>P59*$B$7/2000</f>
        <v>0.27711520000000001</v>
      </c>
      <c r="R59" s="579">
        <v>5.0000000000000002E-5</v>
      </c>
      <c r="S59" s="585">
        <f>$B$6*($B$8/100)*$B$12*R59</f>
        <v>0.01</v>
      </c>
      <c r="T59" s="588">
        <f>S59*$B$7/2000</f>
        <v>1.8724000000000001E-2</v>
      </c>
    </row>
    <row r="60" spans="1:20" ht="14.25" thickTop="1" thickBot="1" x14ac:dyDescent="0.25"/>
    <row r="61" spans="1:20" ht="13.5" thickTop="1" x14ac:dyDescent="0.2">
      <c r="A61" s="349" t="s">
        <v>567</v>
      </c>
      <c r="B61" s="208"/>
      <c r="C61" s="641" t="s">
        <v>362</v>
      </c>
      <c r="D61" s="638"/>
      <c r="E61" s="638"/>
      <c r="F61" s="638"/>
      <c r="G61" s="638"/>
      <c r="H61" s="638"/>
      <c r="I61" s="638"/>
      <c r="J61" s="638"/>
      <c r="K61" s="639"/>
      <c r="L61" s="641" t="s">
        <v>17</v>
      </c>
      <c r="M61" s="638"/>
      <c r="N61" s="638"/>
      <c r="O61" s="638"/>
      <c r="P61" s="638"/>
      <c r="Q61" s="638"/>
      <c r="R61" s="638"/>
      <c r="S61" s="638"/>
      <c r="T61" s="642"/>
    </row>
    <row r="62" spans="1:20" ht="13.5" thickBot="1" x14ac:dyDescent="0.25">
      <c r="A62" s="5"/>
      <c r="B62" s="492"/>
      <c r="C62" s="630" t="s">
        <v>1</v>
      </c>
      <c r="D62" s="630"/>
      <c r="E62" s="630"/>
      <c r="F62" s="630" t="s">
        <v>2</v>
      </c>
      <c r="G62" s="630"/>
      <c r="H62" s="630"/>
      <c r="I62" s="630" t="s">
        <v>412</v>
      </c>
      <c r="J62" s="630"/>
      <c r="K62" s="630"/>
      <c r="L62" s="630" t="s">
        <v>1</v>
      </c>
      <c r="M62" s="630"/>
      <c r="N62" s="630"/>
      <c r="O62" s="630" t="s">
        <v>2</v>
      </c>
      <c r="P62" s="630"/>
      <c r="Q62" s="630"/>
      <c r="R62" s="630" t="s">
        <v>412</v>
      </c>
      <c r="S62" s="630"/>
      <c r="T62" s="645"/>
    </row>
    <row r="63" spans="1:20" x14ac:dyDescent="0.2">
      <c r="A63" s="5" t="s">
        <v>559</v>
      </c>
      <c r="B63" s="643" t="s">
        <v>561</v>
      </c>
      <c r="C63" s="23" t="s">
        <v>5</v>
      </c>
      <c r="D63" s="632" t="s">
        <v>8</v>
      </c>
      <c r="E63" s="640"/>
      <c r="F63" s="23" t="s">
        <v>5</v>
      </c>
      <c r="G63" s="632" t="s">
        <v>8</v>
      </c>
      <c r="H63" s="640"/>
      <c r="I63" s="23" t="s">
        <v>5</v>
      </c>
      <c r="J63" s="632" t="s">
        <v>8</v>
      </c>
      <c r="K63" s="640"/>
      <c r="L63" s="23" t="s">
        <v>5</v>
      </c>
      <c r="M63" s="632" t="s">
        <v>8</v>
      </c>
      <c r="N63" s="640"/>
      <c r="O63" s="23" t="s">
        <v>5</v>
      </c>
      <c r="P63" s="632" t="s">
        <v>8</v>
      </c>
      <c r="Q63" s="640"/>
      <c r="R63" s="23" t="s">
        <v>5</v>
      </c>
      <c r="S63" s="632" t="s">
        <v>8</v>
      </c>
      <c r="T63" s="633"/>
    </row>
    <row r="64" spans="1:20" ht="13.5" thickBot="1" x14ac:dyDescent="0.25">
      <c r="A64" s="5" t="s">
        <v>560</v>
      </c>
      <c r="B64" s="644"/>
      <c r="C64" s="24" t="s">
        <v>6</v>
      </c>
      <c r="D64" s="8" t="s">
        <v>9</v>
      </c>
      <c r="E64" s="22" t="s">
        <v>10</v>
      </c>
      <c r="F64" s="24" t="s">
        <v>6</v>
      </c>
      <c r="G64" s="8" t="s">
        <v>9</v>
      </c>
      <c r="H64" s="22" t="s">
        <v>10</v>
      </c>
      <c r="I64" s="24" t="s">
        <v>6</v>
      </c>
      <c r="J64" s="8" t="s">
        <v>9</v>
      </c>
      <c r="K64" s="22" t="s">
        <v>10</v>
      </c>
      <c r="L64" s="24" t="s">
        <v>6</v>
      </c>
      <c r="M64" s="8" t="s">
        <v>9</v>
      </c>
      <c r="N64" s="22" t="s">
        <v>10</v>
      </c>
      <c r="O64" s="24" t="s">
        <v>6</v>
      </c>
      <c r="P64" s="8" t="s">
        <v>9</v>
      </c>
      <c r="Q64" s="22" t="s">
        <v>10</v>
      </c>
      <c r="R64" s="24" t="s">
        <v>6</v>
      </c>
      <c r="S64" s="8" t="s">
        <v>9</v>
      </c>
      <c r="T64" s="10" t="s">
        <v>10</v>
      </c>
    </row>
    <row r="65" spans="1:20" ht="13.5" thickBot="1" x14ac:dyDescent="0.25">
      <c r="A65" s="6"/>
      <c r="B65" s="494" t="s">
        <v>563</v>
      </c>
      <c r="C65" s="505">
        <v>1.1999999999999999E-3</v>
      </c>
      <c r="D65" s="527">
        <f>$B$6*($B$8/100)*$B$13*C65</f>
        <v>0.24</v>
      </c>
      <c r="E65" s="557">
        <f>D65*8760/2000</f>
        <v>1.0512000000000001</v>
      </c>
      <c r="F65" s="507">
        <v>5.4000000000000001E-4</v>
      </c>
      <c r="G65" s="527">
        <f>$B$6*($B$8/100)*$B$13*F65</f>
        <v>0.108</v>
      </c>
      <c r="H65" s="558">
        <f>G65*8760/2000</f>
        <v>0.47304000000000002</v>
      </c>
      <c r="I65" s="507">
        <v>1E-4</v>
      </c>
      <c r="J65" s="585">
        <f>$B$6*($B$8/100)*$B$13*I65</f>
        <v>0.02</v>
      </c>
      <c r="K65" s="591">
        <f>J65*8760/2000</f>
        <v>8.7600000000000011E-2</v>
      </c>
      <c r="L65" s="509">
        <v>1.1999999999999999E-3</v>
      </c>
      <c r="M65" s="527">
        <f>$B$6*($B$8/100)*$B$13*L65</f>
        <v>0.24</v>
      </c>
      <c r="N65" s="558">
        <f>M65*$B$7/2000</f>
        <v>0.44937600000000005</v>
      </c>
      <c r="O65" s="507">
        <v>5.4000000000000001E-4</v>
      </c>
      <c r="P65" s="527">
        <f>$B$6*($B$8/100)*$B$13*O65</f>
        <v>0.108</v>
      </c>
      <c r="Q65" s="558">
        <f>P65*$B$7/2000</f>
        <v>0.20221919999999999</v>
      </c>
      <c r="R65" s="507">
        <v>1E-4</v>
      </c>
      <c r="S65" s="585">
        <f>$B$6*($B$8/100)*$B$13*R65</f>
        <v>0.02</v>
      </c>
      <c r="T65" s="588">
        <f>S65*$B$7/2000</f>
        <v>3.7448000000000002E-2</v>
      </c>
    </row>
    <row r="66" spans="1:20" ht="14.25" thickTop="1" thickBot="1" x14ac:dyDescent="0.25"/>
    <row r="67" spans="1:20" ht="13.5" thickTop="1" x14ac:dyDescent="0.2">
      <c r="A67" s="349" t="s">
        <v>568</v>
      </c>
      <c r="B67" s="208"/>
      <c r="C67" s="641" t="s">
        <v>362</v>
      </c>
      <c r="D67" s="638"/>
      <c r="E67" s="638"/>
      <c r="F67" s="638"/>
      <c r="G67" s="638"/>
      <c r="H67" s="638"/>
      <c r="I67" s="638"/>
      <c r="J67" s="638"/>
      <c r="K67" s="639"/>
      <c r="L67" s="641" t="s">
        <v>17</v>
      </c>
      <c r="M67" s="638"/>
      <c r="N67" s="638"/>
      <c r="O67" s="638"/>
      <c r="P67" s="638"/>
      <c r="Q67" s="638"/>
      <c r="R67" s="638"/>
      <c r="S67" s="638"/>
      <c r="T67" s="642"/>
    </row>
    <row r="68" spans="1:20" ht="13.5" thickBot="1" x14ac:dyDescent="0.25">
      <c r="A68" s="5"/>
      <c r="B68" s="492"/>
      <c r="C68" s="630" t="s">
        <v>1</v>
      </c>
      <c r="D68" s="630"/>
      <c r="E68" s="630"/>
      <c r="F68" s="630" t="s">
        <v>2</v>
      </c>
      <c r="G68" s="630"/>
      <c r="H68" s="630"/>
      <c r="I68" s="630" t="s">
        <v>412</v>
      </c>
      <c r="J68" s="630"/>
      <c r="K68" s="630"/>
      <c r="L68" s="630" t="s">
        <v>1</v>
      </c>
      <c r="M68" s="630"/>
      <c r="N68" s="630"/>
      <c r="O68" s="630" t="s">
        <v>2</v>
      </c>
      <c r="P68" s="630"/>
      <c r="Q68" s="630"/>
      <c r="R68" s="630" t="s">
        <v>412</v>
      </c>
      <c r="S68" s="630"/>
      <c r="T68" s="645"/>
    </row>
    <row r="69" spans="1:20" x14ac:dyDescent="0.2">
      <c r="A69" s="5" t="s">
        <v>569</v>
      </c>
      <c r="B69" s="643" t="s">
        <v>561</v>
      </c>
      <c r="C69" s="23" t="s">
        <v>5</v>
      </c>
      <c r="D69" s="632" t="s">
        <v>8</v>
      </c>
      <c r="E69" s="640"/>
      <c r="F69" s="23" t="s">
        <v>5</v>
      </c>
      <c r="G69" s="632" t="s">
        <v>8</v>
      </c>
      <c r="H69" s="640"/>
      <c r="I69" s="23" t="s">
        <v>5</v>
      </c>
      <c r="J69" s="632" t="s">
        <v>8</v>
      </c>
      <c r="K69" s="640"/>
      <c r="L69" s="23" t="s">
        <v>5</v>
      </c>
      <c r="M69" s="632" t="s">
        <v>8</v>
      </c>
      <c r="N69" s="640"/>
      <c r="O69" s="23" t="s">
        <v>5</v>
      </c>
      <c r="P69" s="632" t="s">
        <v>8</v>
      </c>
      <c r="Q69" s="640"/>
      <c r="R69" s="23" t="s">
        <v>5</v>
      </c>
      <c r="S69" s="632" t="s">
        <v>8</v>
      </c>
      <c r="T69" s="633"/>
    </row>
    <row r="70" spans="1:20" ht="13.5" thickBot="1" x14ac:dyDescent="0.25">
      <c r="A70" s="5" t="s">
        <v>570</v>
      </c>
      <c r="B70" s="644"/>
      <c r="C70" s="24" t="s">
        <v>6</v>
      </c>
      <c r="D70" s="8" t="s">
        <v>9</v>
      </c>
      <c r="E70" s="22" t="s">
        <v>10</v>
      </c>
      <c r="F70" s="24" t="s">
        <v>6</v>
      </c>
      <c r="G70" s="8" t="s">
        <v>9</v>
      </c>
      <c r="H70" s="22" t="s">
        <v>10</v>
      </c>
      <c r="I70" s="24" t="s">
        <v>6</v>
      </c>
      <c r="J70" s="8" t="s">
        <v>9</v>
      </c>
      <c r="K70" s="22" t="s">
        <v>10</v>
      </c>
      <c r="L70" s="24" t="s">
        <v>6</v>
      </c>
      <c r="M70" s="8" t="s">
        <v>9</v>
      </c>
      <c r="N70" s="22" t="s">
        <v>10</v>
      </c>
      <c r="O70" s="24" t="s">
        <v>6</v>
      </c>
      <c r="P70" s="8" t="s">
        <v>9</v>
      </c>
      <c r="Q70" s="22" t="s">
        <v>10</v>
      </c>
      <c r="R70" s="24" t="s">
        <v>6</v>
      </c>
      <c r="S70" s="8" t="s">
        <v>9</v>
      </c>
      <c r="T70" s="10" t="s">
        <v>10</v>
      </c>
    </row>
    <row r="71" spans="1:20" x14ac:dyDescent="0.2">
      <c r="A71" s="5"/>
      <c r="B71" s="515" t="s">
        <v>576</v>
      </c>
      <c r="C71" s="545">
        <f>0.74*0.0032*((($B$18/5)^1.3)/(($B$16/2)^1.4))</f>
        <v>1.1361839499449426E-3</v>
      </c>
      <c r="D71" s="521">
        <f>$B$6*($B$15/100)*C71</f>
        <v>0.43174990097907817</v>
      </c>
      <c r="E71" s="546">
        <f>D71*8760/2000</f>
        <v>1.8910645662883623</v>
      </c>
      <c r="F71" s="545">
        <f>0.35*0.0032*((($B$18/5)^1.3)/(($B$16/2)^1.4))</f>
        <v>5.3738430064963498E-4</v>
      </c>
      <c r="G71" s="521">
        <f>$B$6*($B$15/100)*F71</f>
        <v>0.20420603424686129</v>
      </c>
      <c r="H71" s="547">
        <f>G71*8760/2000</f>
        <v>0.89442243000125243</v>
      </c>
      <c r="I71" s="545">
        <f>0.053*0.0032*((($B$18/5)^1.3)/(($B$16/2)^1.4))</f>
        <v>8.1375336955516155E-5</v>
      </c>
      <c r="J71" s="521">
        <f>$B$6*($B$15/100)*I71</f>
        <v>3.0922628043096138E-2</v>
      </c>
      <c r="K71" s="547">
        <f>J71*8760/2000</f>
        <v>0.13544111082876109</v>
      </c>
      <c r="L71" s="548">
        <f>0.74*0.0032*((($B$18/5)^1.3)/(($B$16/2)^1.4))</f>
        <v>1.1361839499449426E-3</v>
      </c>
      <c r="M71" s="521">
        <f>$B$6*($B$15/100)*L71</f>
        <v>0.43174990097907817</v>
      </c>
      <c r="N71" s="547">
        <f>M71*$B$7/2000</f>
        <v>0.80840851459322594</v>
      </c>
      <c r="O71" s="545">
        <f>0.35*0.0032*((($B$18/5)^1.3)/(($B$16/2)^1.4))</f>
        <v>5.3738430064963498E-4</v>
      </c>
      <c r="P71" s="521">
        <f>$B$6*($B$15/100)*O71</f>
        <v>0.20420603424686129</v>
      </c>
      <c r="Q71" s="547">
        <f>P71*$B$7/2000</f>
        <v>0.38235537852382312</v>
      </c>
      <c r="R71" s="549">
        <f>0.053*0.0032*((($B$18/5)^1.3)/(($B$16/2)^1.4))</f>
        <v>8.1375336955516155E-5</v>
      </c>
      <c r="S71" s="521">
        <f>$B$6*($B$15/100)*R71</f>
        <v>3.0922628043096138E-2</v>
      </c>
      <c r="T71" s="522">
        <f>S71*$B$7/2000</f>
        <v>5.7899528747893211E-2</v>
      </c>
    </row>
    <row r="72" spans="1:20" ht="13.5" thickBot="1" x14ac:dyDescent="0.25">
      <c r="A72" s="6"/>
      <c r="B72" s="555" t="s">
        <v>577</v>
      </c>
      <c r="C72" s="556">
        <f>0.74*0.0032*((($B$18/5)^1.3)/(($B$16/2)^1.4))</f>
        <v>1.1361839499449426E-3</v>
      </c>
      <c r="D72" s="527">
        <f>$B$6*($B$15/100)*C72</f>
        <v>0.43174990097907817</v>
      </c>
      <c r="E72" s="557">
        <f>D72*8760/2000</f>
        <v>1.8910645662883623</v>
      </c>
      <c r="F72" s="556">
        <f>0.35*0.0032*((($B$18/5)^1.3)/(($B$16/2)^1.4))</f>
        <v>5.3738430064963498E-4</v>
      </c>
      <c r="G72" s="527">
        <f>$B$6*($B$15/100)*F72</f>
        <v>0.20420603424686129</v>
      </c>
      <c r="H72" s="558">
        <f>G72*8760/2000</f>
        <v>0.89442243000125243</v>
      </c>
      <c r="I72" s="556">
        <f>0.053*0.0032*((($B$18/5)^1.3)/(($B$16/2)^1.4))</f>
        <v>8.1375336955516155E-5</v>
      </c>
      <c r="J72" s="527">
        <f>$B$6*($B$15/100)*I72</f>
        <v>3.0922628043096138E-2</v>
      </c>
      <c r="K72" s="558">
        <f>J72*8760/2000</f>
        <v>0.13544111082876109</v>
      </c>
      <c r="L72" s="559">
        <f>0.74*0.0032*((($B$18/5)^1.3)/(($B$16/2)^1.4))</f>
        <v>1.1361839499449426E-3</v>
      </c>
      <c r="M72" s="527">
        <f>$B$6*($B$15/100)*L72</f>
        <v>0.43174990097907817</v>
      </c>
      <c r="N72" s="558">
        <f>M72*$B$7/2000</f>
        <v>0.80840851459322594</v>
      </c>
      <c r="O72" s="556">
        <f>0.35*0.0032*((($B$18/5)^1.3)/(($B$16/2)^1.4))</f>
        <v>5.3738430064963498E-4</v>
      </c>
      <c r="P72" s="527">
        <f>$B$6*($B$15/100)*O72</f>
        <v>0.20420603424686129</v>
      </c>
      <c r="Q72" s="558">
        <f>P72*$B$7/2000</f>
        <v>0.38235537852382312</v>
      </c>
      <c r="R72" s="560">
        <f>0.053*0.0032*((($B$18/5)^1.3)/(($B$16/2)^1.4))</f>
        <v>8.1375336955516155E-5</v>
      </c>
      <c r="S72" s="527">
        <f>$B$6*($B$15/100)*R72</f>
        <v>3.0922628043096138E-2</v>
      </c>
      <c r="T72" s="531">
        <f>S72*$B$7/2000</f>
        <v>5.7899528747893211E-2</v>
      </c>
    </row>
    <row r="73" spans="1:20" ht="13.5" thickTop="1" x14ac:dyDescent="0.2">
      <c r="A73" s="181"/>
      <c r="B73" s="514"/>
    </row>
    <row r="74" spans="1:20" ht="13.5" thickBot="1" x14ac:dyDescent="0.25"/>
    <row r="75" spans="1:20" ht="13.5" thickTop="1" x14ac:dyDescent="0.2">
      <c r="A75" s="349" t="s">
        <v>546</v>
      </c>
      <c r="B75" s="208"/>
      <c r="C75" s="641" t="s">
        <v>362</v>
      </c>
      <c r="D75" s="638"/>
      <c r="E75" s="638"/>
      <c r="F75" s="638"/>
      <c r="G75" s="638"/>
      <c r="H75" s="638"/>
      <c r="I75" s="638"/>
      <c r="J75" s="638"/>
      <c r="K75" s="639"/>
      <c r="L75" s="641" t="s">
        <v>17</v>
      </c>
      <c r="M75" s="638"/>
      <c r="N75" s="638"/>
      <c r="O75" s="638"/>
      <c r="P75" s="638"/>
      <c r="Q75" s="638"/>
      <c r="R75" s="638"/>
      <c r="S75" s="638"/>
      <c r="T75" s="642"/>
    </row>
    <row r="76" spans="1:20" ht="13.5" thickBot="1" x14ac:dyDescent="0.25">
      <c r="A76" s="5"/>
      <c r="B76" s="492"/>
      <c r="C76" s="630" t="s">
        <v>1</v>
      </c>
      <c r="D76" s="630"/>
      <c r="E76" s="630"/>
      <c r="F76" s="630" t="s">
        <v>2</v>
      </c>
      <c r="G76" s="630"/>
      <c r="H76" s="630"/>
      <c r="I76" s="630" t="s">
        <v>412</v>
      </c>
      <c r="J76" s="630"/>
      <c r="K76" s="630"/>
      <c r="L76" s="630" t="s">
        <v>1</v>
      </c>
      <c r="M76" s="630"/>
      <c r="N76" s="630"/>
      <c r="O76" s="630" t="s">
        <v>2</v>
      </c>
      <c r="P76" s="630"/>
      <c r="Q76" s="630"/>
      <c r="R76" s="630" t="s">
        <v>412</v>
      </c>
      <c r="S76" s="630"/>
      <c r="T76" s="645"/>
    </row>
    <row r="77" spans="1:20" x14ac:dyDescent="0.2">
      <c r="A77" s="516" t="s">
        <v>571</v>
      </c>
      <c r="B77" s="643" t="s">
        <v>561</v>
      </c>
      <c r="C77" s="23" t="s">
        <v>5</v>
      </c>
      <c r="D77" s="632" t="s">
        <v>8</v>
      </c>
      <c r="E77" s="640"/>
      <c r="F77" s="23" t="s">
        <v>5</v>
      </c>
      <c r="G77" s="632" t="s">
        <v>8</v>
      </c>
      <c r="H77" s="640"/>
      <c r="I77" s="23" t="s">
        <v>5</v>
      </c>
      <c r="J77" s="632" t="s">
        <v>8</v>
      </c>
      <c r="K77" s="640"/>
      <c r="L77" s="23" t="s">
        <v>5</v>
      </c>
      <c r="M77" s="632" t="s">
        <v>8</v>
      </c>
      <c r="N77" s="640"/>
      <c r="O77" s="23" t="s">
        <v>5</v>
      </c>
      <c r="P77" s="632" t="s">
        <v>8</v>
      </c>
      <c r="Q77" s="640"/>
      <c r="R77" s="23" t="s">
        <v>5</v>
      </c>
      <c r="S77" s="632" t="s">
        <v>8</v>
      </c>
      <c r="T77" s="633"/>
    </row>
    <row r="78" spans="1:20" ht="13.5" thickBot="1" x14ac:dyDescent="0.25">
      <c r="A78" s="5"/>
      <c r="B78" s="644"/>
      <c r="C78" s="517" t="s">
        <v>572</v>
      </c>
      <c r="D78" s="8" t="s">
        <v>9</v>
      </c>
      <c r="E78" s="22" t="s">
        <v>10</v>
      </c>
      <c r="F78" s="517" t="s">
        <v>572</v>
      </c>
      <c r="G78" s="8" t="s">
        <v>9</v>
      </c>
      <c r="H78" s="22" t="s">
        <v>10</v>
      </c>
      <c r="I78" s="517" t="s">
        <v>572</v>
      </c>
      <c r="J78" s="8" t="s">
        <v>9</v>
      </c>
      <c r="K78" s="22" t="s">
        <v>10</v>
      </c>
      <c r="L78" s="517" t="s">
        <v>572</v>
      </c>
      <c r="M78" s="8" t="s">
        <v>9</v>
      </c>
      <c r="N78" s="22" t="s">
        <v>10</v>
      </c>
      <c r="O78" s="517" t="s">
        <v>572</v>
      </c>
      <c r="P78" s="8" t="s">
        <v>9</v>
      </c>
      <c r="Q78" s="22" t="s">
        <v>10</v>
      </c>
      <c r="R78" s="517" t="s">
        <v>572</v>
      </c>
      <c r="S78" s="8" t="s">
        <v>9</v>
      </c>
      <c r="T78" s="10" t="s">
        <v>10</v>
      </c>
    </row>
    <row r="79" spans="1:20" ht="13.5" thickBot="1" x14ac:dyDescent="0.25">
      <c r="A79" s="6"/>
      <c r="B79" s="550" t="s">
        <v>578</v>
      </c>
      <c r="C79" s="561">
        <f>1.7*($B$17/1.5)*((365-$B$20)/235)*($B$19/15)</f>
        <v>7.2764822695035463</v>
      </c>
      <c r="D79" s="562">
        <f>$B$14*C79/24</f>
        <v>0.45478014184397164</v>
      </c>
      <c r="E79" s="563">
        <f>D79*8760/2000</f>
        <v>1.9919370212765957</v>
      </c>
      <c r="F79" s="561">
        <f>1.7*($B$17/1.5)*((365-$B$20)/235)*($B$19/15)*0.5</f>
        <v>3.6382411347517731</v>
      </c>
      <c r="G79" s="562">
        <f>$B$14*F79/24</f>
        <v>0.22739007092198582</v>
      </c>
      <c r="H79" s="564">
        <f>G79*8760/2000</f>
        <v>0.99596851063829783</v>
      </c>
      <c r="I79" s="551" t="s">
        <v>564</v>
      </c>
      <c r="J79" s="552" t="s">
        <v>35</v>
      </c>
      <c r="K79" s="553" t="s">
        <v>35</v>
      </c>
      <c r="L79" s="565">
        <f>1.7*($B$17/1.5)*((365-$B$20)/235)*($B$19/15)</f>
        <v>7.2764822695035463</v>
      </c>
      <c r="M79" s="562">
        <f>$B$14*L79/24</f>
        <v>0.45478014184397164</v>
      </c>
      <c r="N79" s="564">
        <f>M79*8760/2000</f>
        <v>1.9919370212765957</v>
      </c>
      <c r="O79" s="561">
        <f>1.7*($B$17/1.5)*((365-$B$20)/235)*($B$19/15)*0.5</f>
        <v>3.6382411347517731</v>
      </c>
      <c r="P79" s="562">
        <f>$B$14*O79/24</f>
        <v>0.22739007092198582</v>
      </c>
      <c r="Q79" s="564">
        <f>P79*8760/2000</f>
        <v>0.99596851063829783</v>
      </c>
      <c r="R79" s="551" t="s">
        <v>564</v>
      </c>
      <c r="S79" s="552" t="s">
        <v>35</v>
      </c>
      <c r="T79" s="554" t="s">
        <v>35</v>
      </c>
    </row>
    <row r="80" spans="1:20" ht="13.5" thickTop="1" x14ac:dyDescent="0.2"/>
  </sheetData>
  <mergeCells count="82">
    <mergeCell ref="O54:Q54"/>
    <mergeCell ref="R54:T54"/>
    <mergeCell ref="S55:T55"/>
    <mergeCell ref="B55:B56"/>
    <mergeCell ref="D55:E55"/>
    <mergeCell ref="G55:H55"/>
    <mergeCell ref="J55:K55"/>
    <mergeCell ref="M55:N55"/>
    <mergeCell ref="P55:Q55"/>
    <mergeCell ref="C54:E54"/>
    <mergeCell ref="C53:K53"/>
    <mergeCell ref="L53:T53"/>
    <mergeCell ref="M47:N47"/>
    <mergeCell ref="P47:Q47"/>
    <mergeCell ref="S47:T47"/>
    <mergeCell ref="F46:H46"/>
    <mergeCell ref="I46:K46"/>
    <mergeCell ref="L46:N46"/>
    <mergeCell ref="F54:H54"/>
    <mergeCell ref="I54:K54"/>
    <mergeCell ref="L54:N54"/>
    <mergeCell ref="O46:Q46"/>
    <mergeCell ref="R46:T46"/>
    <mergeCell ref="A1:L1"/>
    <mergeCell ref="A2:L2"/>
    <mergeCell ref="A3:L3"/>
    <mergeCell ref="L45:T45"/>
    <mergeCell ref="C23:C24"/>
    <mergeCell ref="D23:E23"/>
    <mergeCell ref="C41:I43"/>
    <mergeCell ref="C46:E46"/>
    <mergeCell ref="B47:B48"/>
    <mergeCell ref="D47:E47"/>
    <mergeCell ref="G47:H47"/>
    <mergeCell ref="F23:G23"/>
    <mergeCell ref="C45:K45"/>
    <mergeCell ref="J47:K47"/>
    <mergeCell ref="P63:Q63"/>
    <mergeCell ref="C61:K61"/>
    <mergeCell ref="L61:T61"/>
    <mergeCell ref="C62:E62"/>
    <mergeCell ref="F62:H62"/>
    <mergeCell ref="I62:K62"/>
    <mergeCell ref="L62:N62"/>
    <mergeCell ref="O62:Q62"/>
    <mergeCell ref="R62:T62"/>
    <mergeCell ref="B63:B64"/>
    <mergeCell ref="D63:E63"/>
    <mergeCell ref="G63:H63"/>
    <mergeCell ref="J63:K63"/>
    <mergeCell ref="S63:T63"/>
    <mergeCell ref="C67:K67"/>
    <mergeCell ref="L67:T67"/>
    <mergeCell ref="M63:N63"/>
    <mergeCell ref="C68:E68"/>
    <mergeCell ref="F68:H68"/>
    <mergeCell ref="I68:K68"/>
    <mergeCell ref="L68:N68"/>
    <mergeCell ref="O68:Q68"/>
    <mergeCell ref="R68:T68"/>
    <mergeCell ref="B69:B70"/>
    <mergeCell ref="D69:E69"/>
    <mergeCell ref="G69:H69"/>
    <mergeCell ref="J69:K69"/>
    <mergeCell ref="M69:N69"/>
    <mergeCell ref="P69:Q69"/>
    <mergeCell ref="B77:B78"/>
    <mergeCell ref="D77:E77"/>
    <mergeCell ref="G77:H77"/>
    <mergeCell ref="J77:K77"/>
    <mergeCell ref="M77:N77"/>
    <mergeCell ref="O76:Q76"/>
    <mergeCell ref="C76:E76"/>
    <mergeCell ref="F76:H76"/>
    <mergeCell ref="P77:Q77"/>
    <mergeCell ref="L75:T75"/>
    <mergeCell ref="I76:K76"/>
    <mergeCell ref="L76:N76"/>
    <mergeCell ref="S69:T69"/>
    <mergeCell ref="C75:K75"/>
    <mergeCell ref="S77:T77"/>
    <mergeCell ref="R76:T76"/>
  </mergeCells>
  <phoneticPr fontId="0" type="noConversion"/>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E028A-B26D-43D5-BB74-2F342EED316D}">
  <sheetPr codeName="Sheet5">
    <tabColor indexed="8"/>
  </sheetPr>
  <dimension ref="A1:O110"/>
  <sheetViews>
    <sheetView zoomScaleNormal="100" workbookViewId="0">
      <selection activeCell="A2" sqref="A2:M2"/>
    </sheetView>
  </sheetViews>
  <sheetFormatPr defaultRowHeight="12.75" x14ac:dyDescent="0.2"/>
  <cols>
    <col min="1" max="1" width="14.5703125" customWidth="1"/>
    <col min="2" max="2" width="14.28515625" customWidth="1"/>
  </cols>
  <sheetData>
    <row r="1" spans="1:15" ht="20.25" x14ac:dyDescent="0.3">
      <c r="A1" s="598" t="s">
        <v>509</v>
      </c>
      <c r="B1" s="598"/>
      <c r="C1" s="598"/>
      <c r="D1" s="598"/>
      <c r="E1" s="598"/>
      <c r="F1" s="598"/>
      <c r="G1" s="598"/>
      <c r="H1" s="598"/>
      <c r="I1" s="598"/>
      <c r="J1" s="598"/>
      <c r="K1" s="598"/>
      <c r="L1" s="598"/>
      <c r="M1" s="598"/>
      <c r="N1" s="466"/>
      <c r="O1" s="466"/>
    </row>
    <row r="2" spans="1:15" x14ac:dyDescent="0.2">
      <c r="A2" s="599">
        <v>40876</v>
      </c>
      <c r="B2" s="599"/>
      <c r="C2" s="599"/>
      <c r="D2" s="599"/>
      <c r="E2" s="599"/>
      <c r="F2" s="599"/>
      <c r="G2" s="599"/>
      <c r="H2" s="599"/>
      <c r="I2" s="599"/>
      <c r="J2" s="599"/>
      <c r="K2" s="599"/>
      <c r="L2" s="599"/>
      <c r="M2" s="599"/>
      <c r="N2" s="467"/>
      <c r="O2" s="467"/>
    </row>
    <row r="3" spans="1:15" ht="39" customHeight="1" x14ac:dyDescent="0.2">
      <c r="A3" s="606" t="s">
        <v>522</v>
      </c>
      <c r="B3" s="606"/>
      <c r="C3" s="606"/>
      <c r="D3" s="606"/>
      <c r="E3" s="606"/>
      <c r="F3" s="606"/>
      <c r="G3" s="606"/>
      <c r="H3" s="606"/>
      <c r="I3" s="606"/>
      <c r="J3" s="606"/>
      <c r="K3" s="606"/>
      <c r="L3" s="606"/>
      <c r="M3" s="606"/>
      <c r="N3" s="467"/>
      <c r="O3" s="467"/>
    </row>
    <row r="5" spans="1:15" x14ac:dyDescent="0.2">
      <c r="B5" s="1" t="s">
        <v>465</v>
      </c>
      <c r="I5" s="146" t="s">
        <v>255</v>
      </c>
    </row>
    <row r="6" spans="1:15" x14ac:dyDescent="0.2">
      <c r="B6" s="488">
        <f>Inputs!D41</f>
        <v>2.2000000000000002</v>
      </c>
      <c r="C6" t="s">
        <v>523</v>
      </c>
      <c r="I6" s="3" t="s">
        <v>22</v>
      </c>
    </row>
    <row r="8" spans="1:15" ht="13.5" thickBot="1" x14ac:dyDescent="0.25"/>
    <row r="9" spans="1:15" ht="13.5" thickTop="1" x14ac:dyDescent="0.2">
      <c r="C9" s="7" t="s">
        <v>11</v>
      </c>
      <c r="D9" s="604" t="s">
        <v>4</v>
      </c>
      <c r="E9" s="601" t="s">
        <v>357</v>
      </c>
      <c r="F9" s="603"/>
      <c r="G9" s="601" t="s">
        <v>17</v>
      </c>
      <c r="H9" s="602"/>
    </row>
    <row r="10" spans="1:15" ht="13.5" thickBot="1" x14ac:dyDescent="0.25">
      <c r="D10" s="605"/>
      <c r="E10" s="8" t="s">
        <v>9</v>
      </c>
      <c r="F10" s="9" t="s">
        <v>10</v>
      </c>
      <c r="G10" s="8" t="s">
        <v>9</v>
      </c>
      <c r="H10" s="10" t="s">
        <v>10</v>
      </c>
    </row>
    <row r="11" spans="1:15" x14ac:dyDescent="0.2">
      <c r="D11" s="11" t="s">
        <v>1</v>
      </c>
      <c r="E11" s="12">
        <f>MAX(G23,G30,G37,G44,G51,G58)</f>
        <v>5.1857142857142859E-2</v>
      </c>
      <c r="F11" s="13">
        <f>MAX(G24,G31,G38,G45,G52,G59)</f>
        <v>0.22713428571428571</v>
      </c>
      <c r="G11" s="61" t="s">
        <v>35</v>
      </c>
      <c r="H11" s="62" t="s">
        <v>35</v>
      </c>
    </row>
    <row r="12" spans="1:15" x14ac:dyDescent="0.2">
      <c r="D12" s="15" t="s">
        <v>2</v>
      </c>
      <c r="E12" s="16">
        <f>MAX(H23,H30,H37,H44,H51,H58)</f>
        <v>3.7400000000000003E-2</v>
      </c>
      <c r="F12" s="17">
        <f>MAX(H24,H31,H38,H45,H52,H59)</f>
        <v>0.16381200000000001</v>
      </c>
      <c r="G12" s="29" t="s">
        <v>35</v>
      </c>
      <c r="H12" s="42" t="s">
        <v>35</v>
      </c>
    </row>
    <row r="13" spans="1:15" x14ac:dyDescent="0.2">
      <c r="D13" s="15" t="s">
        <v>412</v>
      </c>
      <c r="E13" s="16">
        <f>MAX(I23,I30,I37,I44,I51,I58)</f>
        <v>3.3471428571428569E-2</v>
      </c>
      <c r="F13" s="17">
        <f>MAX(I24,I31,I38,I45,I52,I59)</f>
        <v>0.14660485714285712</v>
      </c>
      <c r="G13" s="321" t="s">
        <v>35</v>
      </c>
      <c r="H13" s="322" t="s">
        <v>35</v>
      </c>
    </row>
    <row r="14" spans="1:15" x14ac:dyDescent="0.2">
      <c r="D14" s="15" t="s">
        <v>13</v>
      </c>
      <c r="E14" s="16">
        <f>MAX(J23,J30,J37,J44,J51,J58)</f>
        <v>1.1157142857142859</v>
      </c>
      <c r="F14" s="17">
        <f>MAX(J24,J31,J38,J45,J52,J59)</f>
        <v>4.8868285714285724</v>
      </c>
      <c r="G14" s="29" t="s">
        <v>35</v>
      </c>
      <c r="H14" s="42" t="s">
        <v>35</v>
      </c>
    </row>
    <row r="15" spans="1:15" x14ac:dyDescent="0.2">
      <c r="D15" s="15" t="s">
        <v>14</v>
      </c>
      <c r="E15" s="16">
        <f>MAX(K23,K30,K37,K44,K51,K58)</f>
        <v>0.31428571428571428</v>
      </c>
      <c r="F15" s="17">
        <f>MAX(K24,K31,K38,J45,K52,K59)</f>
        <v>1.3765714285714283</v>
      </c>
      <c r="G15" s="29" t="s">
        <v>35</v>
      </c>
      <c r="H15" s="42" t="s">
        <v>35</v>
      </c>
    </row>
    <row r="16" spans="1:15" x14ac:dyDescent="0.2">
      <c r="D16" s="15" t="s">
        <v>3</v>
      </c>
      <c r="E16" s="16">
        <f>MAX(L23,L30,L37,L44,L51,L58)</f>
        <v>0.1811764705882353</v>
      </c>
      <c r="F16" s="17">
        <f>MAX(L24,L31,L38,L45,L52,L59)</f>
        <v>0.79355294117647068</v>
      </c>
      <c r="G16" s="29" t="s">
        <v>35</v>
      </c>
      <c r="H16" s="42" t="s">
        <v>35</v>
      </c>
    </row>
    <row r="17" spans="1:14" ht="13.5" thickBot="1" x14ac:dyDescent="0.25">
      <c r="D17" s="19" t="s">
        <v>15</v>
      </c>
      <c r="E17" s="20">
        <f>MAX(M23,M30,M37,M44,M51,M58)</f>
        <v>1.1862745098039217E-2</v>
      </c>
      <c r="F17" s="43">
        <f>MAX(M24,M31,M38,M45,M52,M59)</f>
        <v>5.1958823529411766E-2</v>
      </c>
      <c r="G17" s="32" t="s">
        <v>35</v>
      </c>
      <c r="H17" s="41" t="s">
        <v>35</v>
      </c>
    </row>
    <row r="18" spans="1:14" ht="13.5" thickTop="1" x14ac:dyDescent="0.2"/>
    <row r="19" spans="1:14" ht="13.5" thickBot="1" x14ac:dyDescent="0.25"/>
    <row r="20" spans="1:14" ht="13.5" thickBot="1" x14ac:dyDescent="0.25">
      <c r="A20" t="s">
        <v>457</v>
      </c>
      <c r="B20" s="47" t="s">
        <v>20</v>
      </c>
      <c r="C20" s="48"/>
      <c r="D20" s="49"/>
      <c r="E20" s="48"/>
      <c r="F20" s="50"/>
      <c r="G20" s="51" t="s">
        <v>1</v>
      </c>
      <c r="H20" s="51" t="s">
        <v>27</v>
      </c>
      <c r="I20" s="51" t="s">
        <v>412</v>
      </c>
      <c r="J20" s="51" t="s">
        <v>28</v>
      </c>
      <c r="K20" s="51" t="s">
        <v>29</v>
      </c>
      <c r="L20" s="51" t="s">
        <v>3</v>
      </c>
      <c r="M20" s="52" t="s">
        <v>15</v>
      </c>
    </row>
    <row r="21" spans="1:14" ht="14.25" thickTop="1" thickBot="1" x14ac:dyDescent="0.25">
      <c r="B21" s="53" t="s">
        <v>30</v>
      </c>
      <c r="C21" s="323">
        <f>B6</f>
        <v>2.2000000000000002</v>
      </c>
      <c r="D21" s="54" t="s">
        <v>31</v>
      </c>
      <c r="E21" s="310">
        <v>1020</v>
      </c>
      <c r="F21" s="55" t="s">
        <v>32</v>
      </c>
      <c r="G21" s="317">
        <v>7.6</v>
      </c>
      <c r="H21" s="317">
        <v>7.6</v>
      </c>
      <c r="I21" s="317">
        <f>H21</f>
        <v>7.6</v>
      </c>
      <c r="J21" s="317">
        <v>0.6</v>
      </c>
      <c r="K21" s="317">
        <v>100</v>
      </c>
      <c r="L21" s="317">
        <v>84</v>
      </c>
      <c r="M21" s="318">
        <v>5.5</v>
      </c>
    </row>
    <row r="22" spans="1:14" ht="14.25" thickTop="1" thickBot="1" x14ac:dyDescent="0.25">
      <c r="B22" s="53"/>
      <c r="C22" s="310"/>
      <c r="D22" s="54"/>
      <c r="E22" s="310"/>
      <c r="F22" s="54"/>
      <c r="G22" s="319">
        <f>IF(Inputs!$D$43="Y",G21,0)</f>
        <v>7.6</v>
      </c>
      <c r="H22" s="319">
        <f>IF(Inputs!$D$43="Y",H21,0)</f>
        <v>7.6</v>
      </c>
      <c r="I22" s="319">
        <f>IF(Inputs!$D$43="Y",I21,0)</f>
        <v>7.6</v>
      </c>
      <c r="J22" s="319">
        <f>IF(Inputs!$D$43="Y",J21,0)</f>
        <v>0.6</v>
      </c>
      <c r="K22" s="319">
        <f>IF(Inputs!$D$43="Y",K21,0)</f>
        <v>100</v>
      </c>
      <c r="L22" s="319">
        <f>IF(Inputs!$D$43="Y",L21,0)</f>
        <v>84</v>
      </c>
      <c r="M22" s="319">
        <f>IF(Inputs!$D$43="Y",M21,0)</f>
        <v>5.5</v>
      </c>
      <c r="N22" t="s">
        <v>459</v>
      </c>
    </row>
    <row r="23" spans="1:14" ht="14.25" thickTop="1" thickBot="1" x14ac:dyDescent="0.25">
      <c r="B23" s="53" t="s">
        <v>33</v>
      </c>
      <c r="C23" s="310">
        <v>8760</v>
      </c>
      <c r="D23" s="54" t="s">
        <v>34</v>
      </c>
      <c r="E23" s="310" t="s">
        <v>35</v>
      </c>
      <c r="F23" s="54" t="s">
        <v>36</v>
      </c>
      <c r="G23" s="313">
        <f t="shared" ref="G23:M23" si="0">$C$21*G22/$E$21</f>
        <v>1.6392156862745096E-2</v>
      </c>
      <c r="H23" s="313">
        <f t="shared" si="0"/>
        <v>1.6392156862745096E-2</v>
      </c>
      <c r="I23" s="313">
        <f t="shared" si="0"/>
        <v>1.6392156862745096E-2</v>
      </c>
      <c r="J23" s="313">
        <f t="shared" si="0"/>
        <v>1.2941176470588236E-3</v>
      </c>
      <c r="K23" s="313">
        <f t="shared" si="0"/>
        <v>0.21568627450980396</v>
      </c>
      <c r="L23" s="313">
        <f t="shared" si="0"/>
        <v>0.1811764705882353</v>
      </c>
      <c r="M23" s="313">
        <f t="shared" si="0"/>
        <v>1.1862745098039217E-2</v>
      </c>
    </row>
    <row r="24" spans="1:14" ht="14.25" thickTop="1" thickBot="1" x14ac:dyDescent="0.25">
      <c r="B24" s="56" t="s">
        <v>37</v>
      </c>
      <c r="C24" s="57"/>
      <c r="D24" s="58"/>
      <c r="E24" s="59"/>
      <c r="F24" s="60" t="s">
        <v>38</v>
      </c>
      <c r="G24" s="314">
        <f>G23*C23/2000</f>
        <v>7.1797647058823508E-2</v>
      </c>
      <c r="H24" s="314">
        <f>H23*C23/2000</f>
        <v>7.1797647058823508E-2</v>
      </c>
      <c r="I24" s="314">
        <f>I23*C23/2000</f>
        <v>7.1797647058823508E-2</v>
      </c>
      <c r="J24" s="314">
        <f>J23*C23/2000</f>
        <v>5.6682352941176475E-3</v>
      </c>
      <c r="K24" s="314">
        <f>K23*C23/2000</f>
        <v>0.94470588235294128</v>
      </c>
      <c r="L24" s="314">
        <f>L23*C23/2000</f>
        <v>0.79355294117647068</v>
      </c>
      <c r="M24" s="314">
        <f>M23*C23/2000</f>
        <v>5.1958823529411766E-2</v>
      </c>
    </row>
    <row r="26" spans="1:14" ht="13.5" thickBot="1" x14ac:dyDescent="0.25"/>
    <row r="27" spans="1:14" ht="13.5" thickBot="1" x14ac:dyDescent="0.25">
      <c r="B27" s="47" t="s">
        <v>451</v>
      </c>
      <c r="C27" s="48"/>
      <c r="D27" s="49"/>
      <c r="E27" s="48"/>
      <c r="F27" s="50"/>
      <c r="G27" s="51" t="s">
        <v>1</v>
      </c>
      <c r="H27" s="51" t="s">
        <v>27</v>
      </c>
      <c r="I27" s="51" t="s">
        <v>412</v>
      </c>
      <c r="J27" s="51" t="s">
        <v>28</v>
      </c>
      <c r="K27" s="51" t="s">
        <v>29</v>
      </c>
      <c r="L27" s="51" t="s">
        <v>3</v>
      </c>
      <c r="M27" s="52" t="s">
        <v>15</v>
      </c>
    </row>
    <row r="28" spans="1:14" ht="14.25" thickTop="1" thickBot="1" x14ac:dyDescent="0.25">
      <c r="B28" s="53" t="s">
        <v>30</v>
      </c>
      <c r="C28" s="323">
        <f>B6</f>
        <v>2.2000000000000002</v>
      </c>
      <c r="D28" s="54" t="s">
        <v>40</v>
      </c>
      <c r="E28" s="310">
        <v>140000</v>
      </c>
      <c r="F28" s="55" t="s">
        <v>41</v>
      </c>
      <c r="G28" s="311">
        <f>IF(Inputs!$D$41&lt;10,G70,G75)</f>
        <v>3.3</v>
      </c>
      <c r="H28" s="311">
        <f>IF(Inputs!$D$41&lt;10,H70,H75)</f>
        <v>2.38</v>
      </c>
      <c r="I28" s="311">
        <f>IF(Inputs!$D$41&lt;10,I70,I75)</f>
        <v>2.13</v>
      </c>
      <c r="J28" s="311">
        <f>IF(Inputs!$D$41&lt;10,J70,J75)</f>
        <v>71</v>
      </c>
      <c r="K28" s="311">
        <f>IF(Inputs!$D$41&lt;10,K70,K75)</f>
        <v>20</v>
      </c>
      <c r="L28" s="311">
        <f>IF(Inputs!$D$41&lt;10,L70,L75)</f>
        <v>5</v>
      </c>
      <c r="M28" s="311">
        <f>IF(Inputs!$D$41&lt;10,M70,M75)</f>
        <v>0.34</v>
      </c>
      <c r="N28" t="s">
        <v>458</v>
      </c>
    </row>
    <row r="29" spans="1:14" ht="14.25" thickTop="1" thickBot="1" x14ac:dyDescent="0.25">
      <c r="B29" s="53"/>
      <c r="C29" s="310"/>
      <c r="D29" s="54"/>
      <c r="E29" s="310"/>
      <c r="F29" s="54"/>
      <c r="G29" s="320">
        <f>IF(Inputs!$D$44="Y",G28,0)</f>
        <v>3.3</v>
      </c>
      <c r="H29" s="320">
        <f>IF(Inputs!$D$44="Y",H28,0)</f>
        <v>2.38</v>
      </c>
      <c r="I29" s="320">
        <f>IF(Inputs!$D$44="Y",I28,0)</f>
        <v>2.13</v>
      </c>
      <c r="J29" s="320">
        <f>IF(Inputs!$D$44="Y",J28,0)</f>
        <v>71</v>
      </c>
      <c r="K29" s="320">
        <f>IF(Inputs!$D$44="Y",K28,0)</f>
        <v>20</v>
      </c>
      <c r="L29" s="320">
        <f>IF(Inputs!$D$44="Y",L28,0)</f>
        <v>5</v>
      </c>
      <c r="M29" s="320">
        <f>IF(Inputs!$D$44="Y",M28,0)</f>
        <v>0.34</v>
      </c>
      <c r="N29" t="s">
        <v>459</v>
      </c>
    </row>
    <row r="30" spans="1:14" ht="14.25" thickTop="1" thickBot="1" x14ac:dyDescent="0.25">
      <c r="B30" s="53" t="s">
        <v>33</v>
      </c>
      <c r="C30" s="310">
        <v>8760</v>
      </c>
      <c r="D30" s="54" t="s">
        <v>34</v>
      </c>
      <c r="E30" s="323">
        <f>Inputs!F44</f>
        <v>0.5</v>
      </c>
      <c r="F30" s="54" t="s">
        <v>36</v>
      </c>
      <c r="G30" s="313">
        <f t="shared" ref="G30:M30" si="1">G29*$C$28*1000/$E$28</f>
        <v>5.1857142857142859E-2</v>
      </c>
      <c r="H30" s="313">
        <f t="shared" si="1"/>
        <v>3.7400000000000003E-2</v>
      </c>
      <c r="I30" s="313">
        <f t="shared" si="1"/>
        <v>3.3471428571428569E-2</v>
      </c>
      <c r="J30" s="313">
        <f t="shared" si="1"/>
        <v>1.1157142857142859</v>
      </c>
      <c r="K30" s="313">
        <f t="shared" si="1"/>
        <v>0.31428571428571428</v>
      </c>
      <c r="L30" s="313">
        <f t="shared" si="1"/>
        <v>7.857142857142857E-2</v>
      </c>
      <c r="M30" s="313">
        <f t="shared" si="1"/>
        <v>5.342857142857144E-3</v>
      </c>
    </row>
    <row r="31" spans="1:14" ht="14.25" thickTop="1" thickBot="1" x14ac:dyDescent="0.25">
      <c r="B31" s="56" t="s">
        <v>42</v>
      </c>
      <c r="C31" s="57"/>
      <c r="D31" s="58"/>
      <c r="E31" s="59"/>
      <c r="F31" s="60" t="s">
        <v>38</v>
      </c>
      <c r="G31" s="314">
        <f>G30*C30/2000</f>
        <v>0.22713428571428571</v>
      </c>
      <c r="H31" s="314">
        <f>H30*C30/2000</f>
        <v>0.16381200000000001</v>
      </c>
      <c r="I31" s="314">
        <f>I30*C30/2000</f>
        <v>0.14660485714285712</v>
      </c>
      <c r="J31" s="314">
        <f>J30*C30/2000</f>
        <v>4.8868285714285724</v>
      </c>
      <c r="K31" s="314">
        <f>K30*C30/2000</f>
        <v>1.3765714285714283</v>
      </c>
      <c r="L31" s="314">
        <f>L30*C30/2000</f>
        <v>0.34414285714285708</v>
      </c>
      <c r="M31" s="314">
        <f>M30*C30/2000</f>
        <v>2.3401714285714293E-2</v>
      </c>
    </row>
    <row r="33" spans="2:14" ht="13.5" thickBot="1" x14ac:dyDescent="0.25"/>
    <row r="34" spans="2:14" ht="13.5" thickBot="1" x14ac:dyDescent="0.25">
      <c r="B34" s="47" t="s">
        <v>452</v>
      </c>
      <c r="C34" s="48"/>
      <c r="D34" s="49"/>
      <c r="E34" s="48"/>
      <c r="F34" s="50"/>
      <c r="G34" s="51" t="s">
        <v>1</v>
      </c>
      <c r="H34" s="51" t="s">
        <v>27</v>
      </c>
      <c r="I34" s="51" t="s">
        <v>412</v>
      </c>
      <c r="J34" s="51" t="s">
        <v>28</v>
      </c>
      <c r="K34" s="51" t="s">
        <v>29</v>
      </c>
      <c r="L34" s="51" t="s">
        <v>3</v>
      </c>
      <c r="M34" s="52" t="s">
        <v>15</v>
      </c>
    </row>
    <row r="35" spans="2:14" ht="14.25" thickTop="1" thickBot="1" x14ac:dyDescent="0.25">
      <c r="B35" s="53" t="s">
        <v>30</v>
      </c>
      <c r="C35" s="323">
        <f>B6</f>
        <v>2.2000000000000002</v>
      </c>
      <c r="D35" s="54" t="s">
        <v>40</v>
      </c>
      <c r="E35" s="310">
        <v>145000</v>
      </c>
      <c r="F35" s="55" t="s">
        <v>41</v>
      </c>
      <c r="G35" s="311">
        <f>IF(Inputs!$D$41&lt;10,G81,G86)</f>
        <v>8.5</v>
      </c>
      <c r="H35" s="311">
        <f>IF(Inputs!$D$41&lt;10,H81,H86)</f>
        <v>5.8427999999999995</v>
      </c>
      <c r="I35" s="311">
        <f>IF(Inputs!$D$41&lt;10,I81,I86)</f>
        <v>3.1128</v>
      </c>
      <c r="J35" s="311">
        <f>IF(Inputs!$D$41&lt;10,J81,J86)</f>
        <v>225</v>
      </c>
      <c r="K35" s="311">
        <f>IF(Inputs!$D$41&lt;10,K81,K86)</f>
        <v>20</v>
      </c>
      <c r="L35" s="311">
        <f>IF(Inputs!$D$41&lt;10,L81,L86)</f>
        <v>5</v>
      </c>
      <c r="M35" s="311">
        <f>IF(Inputs!$D$41&lt;10,M81,M86)</f>
        <v>0.34</v>
      </c>
      <c r="N35" t="s">
        <v>458</v>
      </c>
    </row>
    <row r="36" spans="2:14" ht="14.25" thickTop="1" thickBot="1" x14ac:dyDescent="0.25">
      <c r="B36" s="53"/>
      <c r="C36" s="310"/>
      <c r="D36" s="54"/>
      <c r="E36" s="310"/>
      <c r="F36" s="54"/>
      <c r="G36" s="320">
        <f>IF(Inputs!$D$45="Y",G35,0)</f>
        <v>0</v>
      </c>
      <c r="H36" s="320">
        <f>IF(Inputs!$D$45="Y",H35,0)</f>
        <v>0</v>
      </c>
      <c r="I36" s="320">
        <f>IF(Inputs!$D$45="Y",I35,0)</f>
        <v>0</v>
      </c>
      <c r="J36" s="320">
        <f>IF(Inputs!$D$45="Y",J35,0)</f>
        <v>0</v>
      </c>
      <c r="K36" s="320">
        <f>IF(Inputs!$D$45="Y",K35,0)</f>
        <v>0</v>
      </c>
      <c r="L36" s="320">
        <f>IF(Inputs!$D$45="Y",L35,0)</f>
        <v>0</v>
      </c>
      <c r="M36" s="320">
        <f>IF(Inputs!$D$45="Y",M35,0)</f>
        <v>0</v>
      </c>
      <c r="N36" t="s">
        <v>459</v>
      </c>
    </row>
    <row r="37" spans="2:14" ht="14.25" thickTop="1" thickBot="1" x14ac:dyDescent="0.25">
      <c r="B37" s="53" t="s">
        <v>33</v>
      </c>
      <c r="C37" s="310">
        <v>8760</v>
      </c>
      <c r="D37" s="54" t="s">
        <v>34</v>
      </c>
      <c r="E37" s="323">
        <f>Inputs!F45</f>
        <v>1.5</v>
      </c>
      <c r="F37" s="54" t="s">
        <v>36</v>
      </c>
      <c r="G37" s="313">
        <f t="shared" ref="G37:M37" si="2">G36*$C$35*1000/$E$35</f>
        <v>0</v>
      </c>
      <c r="H37" s="313">
        <f t="shared" si="2"/>
        <v>0</v>
      </c>
      <c r="I37" s="313">
        <f t="shared" si="2"/>
        <v>0</v>
      </c>
      <c r="J37" s="313">
        <f t="shared" si="2"/>
        <v>0</v>
      </c>
      <c r="K37" s="313">
        <f t="shared" si="2"/>
        <v>0</v>
      </c>
      <c r="L37" s="313">
        <f t="shared" si="2"/>
        <v>0</v>
      </c>
      <c r="M37" s="313">
        <f t="shared" si="2"/>
        <v>0</v>
      </c>
    </row>
    <row r="38" spans="2:14" ht="14.25" thickTop="1" thickBot="1" x14ac:dyDescent="0.25">
      <c r="B38" s="56" t="s">
        <v>42</v>
      </c>
      <c r="C38" s="57"/>
      <c r="D38" s="58"/>
      <c r="E38" s="59"/>
      <c r="F38" s="60" t="s">
        <v>38</v>
      </c>
      <c r="G38" s="314">
        <f>G37*C37/2000</f>
        <v>0</v>
      </c>
      <c r="H38" s="314">
        <f>H37*C37/2000</f>
        <v>0</v>
      </c>
      <c r="I38" s="314">
        <f>I37*C37/2000</f>
        <v>0</v>
      </c>
      <c r="J38" s="314">
        <f>J37*C37/2000</f>
        <v>0</v>
      </c>
      <c r="K38" s="314">
        <f>K37*C37/2000</f>
        <v>0</v>
      </c>
      <c r="L38" s="314">
        <f>L37*C37/2000</f>
        <v>0</v>
      </c>
      <c r="M38" s="314">
        <f>M37*C37/2000</f>
        <v>0</v>
      </c>
    </row>
    <row r="40" spans="2:14" ht="13.5" thickBot="1" x14ac:dyDescent="0.25"/>
    <row r="41" spans="2:14" ht="13.5" thickBot="1" x14ac:dyDescent="0.25">
      <c r="B41" s="47" t="s">
        <v>464</v>
      </c>
      <c r="C41" s="48"/>
      <c r="D41" s="49"/>
      <c r="E41" s="48"/>
      <c r="F41" s="50"/>
      <c r="G41" s="51" t="s">
        <v>1</v>
      </c>
      <c r="H41" s="51" t="s">
        <v>27</v>
      </c>
      <c r="I41" s="51" t="s">
        <v>412</v>
      </c>
      <c r="J41" s="51" t="s">
        <v>28</v>
      </c>
      <c r="K41" s="51" t="s">
        <v>29</v>
      </c>
      <c r="L41" s="51" t="s">
        <v>3</v>
      </c>
      <c r="M41" s="52" t="s">
        <v>15</v>
      </c>
    </row>
    <row r="42" spans="2:14" ht="14.25" thickTop="1" thickBot="1" x14ac:dyDescent="0.25">
      <c r="B42" s="53" t="s">
        <v>30</v>
      </c>
      <c r="C42" s="489">
        <f>B6</f>
        <v>2.2000000000000002</v>
      </c>
      <c r="D42" s="54" t="s">
        <v>40</v>
      </c>
      <c r="E42" s="310">
        <v>150000</v>
      </c>
      <c r="F42" s="55" t="s">
        <v>41</v>
      </c>
      <c r="G42" s="311">
        <f>IF(Inputs!$D$41&lt;10,G92,G97)</f>
        <v>11.5</v>
      </c>
      <c r="H42" s="311">
        <f>IF(Inputs!$D$41&lt;10,H92,H97)</f>
        <v>7.7039999999999997</v>
      </c>
      <c r="I42" s="311">
        <f>IF(Inputs!$D$41&lt;10,I92,I97)</f>
        <v>3.8039999999999998</v>
      </c>
      <c r="J42" s="311">
        <f>IF(Inputs!$D$41&lt;10,J92,J97)</f>
        <v>314</v>
      </c>
      <c r="K42" s="311">
        <f>IF(Inputs!$D$41&lt;10,K92,K97)</f>
        <v>55</v>
      </c>
      <c r="L42" s="311">
        <f>IF(Inputs!$D$41&lt;10,L92,L97)</f>
        <v>5</v>
      </c>
      <c r="M42" s="311">
        <f>IF(Inputs!$D$41&lt;10,M92,M97)</f>
        <v>1.1299999999999999</v>
      </c>
      <c r="N42" t="s">
        <v>458</v>
      </c>
    </row>
    <row r="43" spans="2:14" ht="14.25" thickTop="1" thickBot="1" x14ac:dyDescent="0.25">
      <c r="B43" s="53"/>
      <c r="C43" s="310"/>
      <c r="D43" s="54"/>
      <c r="E43" s="310"/>
      <c r="F43" s="54"/>
      <c r="G43" s="320">
        <f>IF(Inputs!$D$46="Y",G42,0)</f>
        <v>0</v>
      </c>
      <c r="H43" s="320">
        <f>IF(Inputs!$D$46="Y",H42,0)</f>
        <v>0</v>
      </c>
      <c r="I43" s="320">
        <f>IF(Inputs!$D$46="Y",I42,0)</f>
        <v>0</v>
      </c>
      <c r="J43" s="320">
        <f>IF(Inputs!$D$46="Y",J42,0)</f>
        <v>0</v>
      </c>
      <c r="K43" s="320">
        <f>IF(Inputs!$D$46="Y",K42,0)</f>
        <v>0</v>
      </c>
      <c r="L43" s="320">
        <f>IF(Inputs!$D$46="Y",L42,0)</f>
        <v>0</v>
      </c>
      <c r="M43" s="320">
        <f>IF(Inputs!$D$46="Y",M42,0)</f>
        <v>0</v>
      </c>
      <c r="N43" t="s">
        <v>459</v>
      </c>
    </row>
    <row r="44" spans="2:14" ht="14.25" thickTop="1" thickBot="1" x14ac:dyDescent="0.25">
      <c r="B44" s="53" t="s">
        <v>33</v>
      </c>
      <c r="C44" s="310">
        <v>8760</v>
      </c>
      <c r="D44" s="54" t="s">
        <v>34</v>
      </c>
      <c r="E44" s="310">
        <f>Inputs!F46</f>
        <v>2</v>
      </c>
      <c r="F44" s="54" t="s">
        <v>36</v>
      </c>
      <c r="G44" s="313">
        <f>G43*$C$42*1000/$E$42</f>
        <v>0</v>
      </c>
      <c r="H44" s="313">
        <f t="shared" ref="H44:M44" si="3">H43*$C$42*1000/$E$42</f>
        <v>0</v>
      </c>
      <c r="I44" s="313">
        <f t="shared" si="3"/>
        <v>0</v>
      </c>
      <c r="J44" s="313">
        <f t="shared" si="3"/>
        <v>0</v>
      </c>
      <c r="K44" s="313">
        <f t="shared" si="3"/>
        <v>0</v>
      </c>
      <c r="L44" s="313">
        <f t="shared" si="3"/>
        <v>0</v>
      </c>
      <c r="M44" s="313">
        <f t="shared" si="3"/>
        <v>0</v>
      </c>
    </row>
    <row r="45" spans="2:14" ht="14.25" thickTop="1" thickBot="1" x14ac:dyDescent="0.25">
      <c r="B45" s="56" t="s">
        <v>42</v>
      </c>
      <c r="C45" s="57"/>
      <c r="D45" s="58"/>
      <c r="E45" s="59"/>
      <c r="F45" s="60" t="s">
        <v>38</v>
      </c>
      <c r="G45" s="314">
        <f>G44*C44/2000</f>
        <v>0</v>
      </c>
      <c r="H45" s="314">
        <f>H44*C44/2000</f>
        <v>0</v>
      </c>
      <c r="I45" s="314">
        <f>I44*C44/2000</f>
        <v>0</v>
      </c>
      <c r="J45" s="314">
        <f>J44*C44/2000</f>
        <v>0</v>
      </c>
      <c r="K45" s="314">
        <f>K44*C44/2000</f>
        <v>0</v>
      </c>
      <c r="L45" s="314">
        <f>L44*C44/2000</f>
        <v>0</v>
      </c>
      <c r="M45" s="314">
        <f>M44*C44/2000</f>
        <v>0</v>
      </c>
    </row>
    <row r="47" spans="2:14" ht="13.5" thickBot="1" x14ac:dyDescent="0.25"/>
    <row r="48" spans="2:14" ht="13.5" thickBot="1" x14ac:dyDescent="0.25">
      <c r="B48" s="47" t="s">
        <v>453</v>
      </c>
      <c r="C48" s="48"/>
      <c r="D48" s="49"/>
      <c r="E48" s="48"/>
      <c r="F48" s="50"/>
      <c r="G48" s="51" t="s">
        <v>1</v>
      </c>
      <c r="H48" s="51" t="s">
        <v>27</v>
      </c>
      <c r="I48" s="51" t="s">
        <v>412</v>
      </c>
      <c r="J48" s="51" t="s">
        <v>28</v>
      </c>
      <c r="K48" s="51" t="s">
        <v>29</v>
      </c>
      <c r="L48" s="51" t="s">
        <v>3</v>
      </c>
      <c r="M48" s="52" t="s">
        <v>15</v>
      </c>
    </row>
    <row r="49" spans="2:14" ht="14.25" thickTop="1" thickBot="1" x14ac:dyDescent="0.25">
      <c r="B49" s="53" t="s">
        <v>30</v>
      </c>
      <c r="C49" s="323">
        <f>B6</f>
        <v>2.2000000000000002</v>
      </c>
      <c r="D49" s="54" t="s">
        <v>40</v>
      </c>
      <c r="E49" s="310">
        <v>150000</v>
      </c>
      <c r="F49" s="55" t="s">
        <v>41</v>
      </c>
      <c r="G49" s="311">
        <f>IF(Inputs!$D$41&lt;10,G103,G108)</f>
        <v>27.694999999999997</v>
      </c>
      <c r="H49" s="311">
        <f>IF(Inputs!$D$41&lt;10,H103,H108)</f>
        <v>17.888900000000003</v>
      </c>
      <c r="I49" s="311">
        <f>IF(Inputs!$D$41&lt;10,I103,I108)</f>
        <v>7.5864000000000011</v>
      </c>
      <c r="J49" s="311">
        <f>IF(Inputs!$D$41&lt;10,J103,J108)</f>
        <v>392.5</v>
      </c>
      <c r="K49" s="311">
        <f>IF(Inputs!$D$41&lt;10,K103,K108)</f>
        <v>55</v>
      </c>
      <c r="L49" s="311">
        <f>IF(Inputs!$D$41&lt;10,L103,L108)</f>
        <v>5</v>
      </c>
      <c r="M49" s="311">
        <f>IF(Inputs!$D$41&lt;10,M103,M108)</f>
        <v>1.1299999999999999</v>
      </c>
      <c r="N49" t="s">
        <v>458</v>
      </c>
    </row>
    <row r="50" spans="2:14" ht="14.25" thickTop="1" thickBot="1" x14ac:dyDescent="0.25">
      <c r="B50" s="53"/>
      <c r="C50" s="310"/>
      <c r="D50" s="54"/>
      <c r="E50" s="310"/>
      <c r="F50" s="54"/>
      <c r="G50" s="320">
        <f>IF(Inputs!$D$47="Y",G49,0)</f>
        <v>0</v>
      </c>
      <c r="H50" s="320">
        <f>IF(Inputs!$D$47="Y",H49,0)</f>
        <v>0</v>
      </c>
      <c r="I50" s="320">
        <f>IF(Inputs!$D$47="Y",I49,0)</f>
        <v>0</v>
      </c>
      <c r="J50" s="320">
        <f>IF(Inputs!$D$47="Y",J49,0)</f>
        <v>0</v>
      </c>
      <c r="K50" s="320">
        <f>IF(Inputs!$D$47="Y",K49,0)</f>
        <v>0</v>
      </c>
      <c r="L50" s="320">
        <f>IF(Inputs!$D$47="Y",L49,0)</f>
        <v>0</v>
      </c>
      <c r="M50" s="320">
        <f>IF(Inputs!$D$47="Y",M49,0)</f>
        <v>0</v>
      </c>
      <c r="N50" t="s">
        <v>459</v>
      </c>
    </row>
    <row r="51" spans="2:14" ht="14.25" thickTop="1" thickBot="1" x14ac:dyDescent="0.25">
      <c r="B51" s="53" t="s">
        <v>33</v>
      </c>
      <c r="C51" s="310">
        <v>8760</v>
      </c>
      <c r="D51" s="54" t="s">
        <v>34</v>
      </c>
      <c r="E51" s="323">
        <f>Inputs!F47</f>
        <v>2.5</v>
      </c>
      <c r="F51" s="54" t="s">
        <v>36</v>
      </c>
      <c r="G51" s="313">
        <f t="shared" ref="G51:M51" si="4">G50*$C$49*1000/$E$49</f>
        <v>0</v>
      </c>
      <c r="H51" s="313">
        <f t="shared" si="4"/>
        <v>0</v>
      </c>
      <c r="I51" s="313">
        <f t="shared" si="4"/>
        <v>0</v>
      </c>
      <c r="J51" s="313">
        <f t="shared" si="4"/>
        <v>0</v>
      </c>
      <c r="K51" s="313">
        <f t="shared" si="4"/>
        <v>0</v>
      </c>
      <c r="L51" s="313">
        <f t="shared" si="4"/>
        <v>0</v>
      </c>
      <c r="M51" s="313">
        <f t="shared" si="4"/>
        <v>0</v>
      </c>
    </row>
    <row r="52" spans="2:14" ht="14.25" thickTop="1" thickBot="1" x14ac:dyDescent="0.25">
      <c r="B52" s="56" t="s">
        <v>42</v>
      </c>
      <c r="C52" s="57"/>
      <c r="D52" s="58"/>
      <c r="E52" s="59"/>
      <c r="F52" s="60" t="s">
        <v>38</v>
      </c>
      <c r="G52" s="314">
        <f>G51*C51/2000</f>
        <v>0</v>
      </c>
      <c r="H52" s="314">
        <f>H51*C51/2000</f>
        <v>0</v>
      </c>
      <c r="I52" s="314">
        <f>I51*C51/2000</f>
        <v>0</v>
      </c>
      <c r="J52" s="314">
        <f>J51*C51/2000</f>
        <v>0</v>
      </c>
      <c r="K52" s="314">
        <f>K51*C51/2000</f>
        <v>0</v>
      </c>
      <c r="L52" s="314">
        <f>L51*C51/2000</f>
        <v>0</v>
      </c>
      <c r="M52" s="314">
        <f>M51*C51/2000</f>
        <v>0</v>
      </c>
    </row>
    <row r="54" spans="2:14" ht="13.5" thickBot="1" x14ac:dyDescent="0.25"/>
    <row r="55" spans="2:14" ht="14.25" thickTop="1" thickBot="1" x14ac:dyDescent="0.25">
      <c r="B55" s="47" t="s">
        <v>367</v>
      </c>
      <c r="C55" s="48"/>
      <c r="D55" s="316" t="s">
        <v>40</v>
      </c>
      <c r="E55" s="310">
        <v>140000</v>
      </c>
      <c r="F55" s="50"/>
      <c r="G55" s="51" t="s">
        <v>1</v>
      </c>
      <c r="H55" s="51" t="s">
        <v>27</v>
      </c>
      <c r="I55" s="51" t="s">
        <v>412</v>
      </c>
      <c r="J55" s="51" t="s">
        <v>28</v>
      </c>
      <c r="K55" s="51" t="s">
        <v>29</v>
      </c>
      <c r="L55" s="51" t="s">
        <v>3</v>
      </c>
      <c r="M55" s="52" t="s">
        <v>15</v>
      </c>
    </row>
    <row r="56" spans="2:14" ht="14.25" thickTop="1" thickBot="1" x14ac:dyDescent="0.25">
      <c r="B56" s="53" t="s">
        <v>30</v>
      </c>
      <c r="C56" s="323">
        <f>B6</f>
        <v>2.2000000000000002</v>
      </c>
      <c r="D56" s="54" t="s">
        <v>449</v>
      </c>
      <c r="E56" s="310">
        <v>0.5</v>
      </c>
      <c r="F56" s="55" t="s">
        <v>41</v>
      </c>
      <c r="G56" s="311">
        <f>64*E56</f>
        <v>32</v>
      </c>
      <c r="H56" s="311">
        <f>51*E56</f>
        <v>25.5</v>
      </c>
      <c r="I56" s="311">
        <v>0</v>
      </c>
      <c r="J56" s="311">
        <f>147*E58</f>
        <v>73.5</v>
      </c>
      <c r="K56" s="311">
        <v>19</v>
      </c>
      <c r="L56" s="311">
        <v>5</v>
      </c>
      <c r="M56" s="312">
        <v>1</v>
      </c>
    </row>
    <row r="57" spans="2:14" ht="14.25" thickTop="1" thickBot="1" x14ac:dyDescent="0.25">
      <c r="B57" s="53"/>
      <c r="C57" s="310"/>
      <c r="D57" s="54"/>
      <c r="E57" s="310"/>
      <c r="F57" s="54"/>
      <c r="G57" s="320">
        <f>IF(Inputs!$D$48="Y",G56,0)</f>
        <v>0</v>
      </c>
      <c r="H57" s="320">
        <f>IF(Inputs!$D$48="Y",H56,0)</f>
        <v>0</v>
      </c>
      <c r="I57" s="320">
        <f>IF(Inputs!$D$48="Y",I56,0)</f>
        <v>0</v>
      </c>
      <c r="J57" s="320">
        <f>IF(Inputs!$D$48="Y",J56,0)</f>
        <v>0</v>
      </c>
      <c r="K57" s="320">
        <f>IF(Inputs!$D$48="Y",K56,0)</f>
        <v>0</v>
      </c>
      <c r="L57" s="320">
        <f>IF(Inputs!$D$48="Y",L56,0)</f>
        <v>0</v>
      </c>
      <c r="M57" s="320">
        <f>IF(Inputs!$D$48="Y",M56,0)</f>
        <v>0</v>
      </c>
      <c r="N57" t="s">
        <v>459</v>
      </c>
    </row>
    <row r="58" spans="2:14" ht="14.25" thickTop="1" thickBot="1" x14ac:dyDescent="0.25">
      <c r="B58" s="53" t="s">
        <v>33</v>
      </c>
      <c r="C58" s="310">
        <v>8760</v>
      </c>
      <c r="D58" s="54" t="s">
        <v>34</v>
      </c>
      <c r="E58" s="323">
        <f>Inputs!F48</f>
        <v>0.5</v>
      </c>
      <c r="F58" s="54" t="s">
        <v>36</v>
      </c>
      <c r="G58" s="313">
        <f t="shared" ref="G58:M58" si="5">G57*$C$56*1000/$E$55</f>
        <v>0</v>
      </c>
      <c r="H58" s="313">
        <f t="shared" si="5"/>
        <v>0</v>
      </c>
      <c r="I58" s="313">
        <f t="shared" si="5"/>
        <v>0</v>
      </c>
      <c r="J58" s="313">
        <f t="shared" si="5"/>
        <v>0</v>
      </c>
      <c r="K58" s="313">
        <f t="shared" si="5"/>
        <v>0</v>
      </c>
      <c r="L58" s="313">
        <f t="shared" si="5"/>
        <v>0</v>
      </c>
      <c r="M58" s="313">
        <f t="shared" si="5"/>
        <v>0</v>
      </c>
    </row>
    <row r="59" spans="2:14" ht="14.25" thickTop="1" thickBot="1" x14ac:dyDescent="0.25">
      <c r="B59" s="56" t="s">
        <v>450</v>
      </c>
      <c r="C59" s="57"/>
      <c r="D59" s="58"/>
      <c r="E59" s="59"/>
      <c r="F59" s="60" t="s">
        <v>38</v>
      </c>
      <c r="G59" s="314">
        <f>G58*C58/2000</f>
        <v>0</v>
      </c>
      <c r="H59" s="314">
        <f>H58*C58/2000</f>
        <v>0</v>
      </c>
      <c r="I59" s="314">
        <f>I58*C58/2000</f>
        <v>0</v>
      </c>
      <c r="J59" s="314">
        <f>J58*C58/2000</f>
        <v>0</v>
      </c>
      <c r="K59" s="314">
        <f>K58*C58/2000</f>
        <v>0</v>
      </c>
      <c r="L59" s="314">
        <f>L58*C58/2000</f>
        <v>0</v>
      </c>
      <c r="M59" s="314">
        <f>M58*C58/2000</f>
        <v>0</v>
      </c>
    </row>
    <row r="68" spans="2:13" ht="13.5" thickBot="1" x14ac:dyDescent="0.25">
      <c r="B68" t="s">
        <v>458</v>
      </c>
    </row>
    <row r="69" spans="2:13" ht="13.5" thickBot="1" x14ac:dyDescent="0.25">
      <c r="B69" s="47" t="s">
        <v>39</v>
      </c>
      <c r="C69" s="48"/>
      <c r="D69" s="49"/>
      <c r="E69" s="48"/>
      <c r="F69" s="50"/>
      <c r="G69" s="51" t="s">
        <v>1</v>
      </c>
      <c r="H69" s="51" t="s">
        <v>27</v>
      </c>
      <c r="I69" s="51" t="s">
        <v>412</v>
      </c>
      <c r="J69" s="51" t="s">
        <v>28</v>
      </c>
      <c r="K69" s="51" t="s">
        <v>29</v>
      </c>
      <c r="L69" s="51" t="s">
        <v>3</v>
      </c>
      <c r="M69" s="52" t="s">
        <v>15</v>
      </c>
    </row>
    <row r="70" spans="2:13" ht="14.25" thickTop="1" thickBot="1" x14ac:dyDescent="0.25">
      <c r="B70" s="53" t="s">
        <v>30</v>
      </c>
      <c r="C70" s="310">
        <v>1</v>
      </c>
      <c r="D70" s="54" t="s">
        <v>40</v>
      </c>
      <c r="E70" s="310">
        <f>E28</f>
        <v>140000</v>
      </c>
      <c r="F70" s="55" t="s">
        <v>41</v>
      </c>
      <c r="G70" s="311">
        <f>2+1.3</f>
        <v>3.3</v>
      </c>
      <c r="H70" s="311">
        <f>1.08+1.3</f>
        <v>2.38</v>
      </c>
      <c r="I70" s="311">
        <f>0.83+1.3</f>
        <v>2.13</v>
      </c>
      <c r="J70" s="311">
        <f>142*E71</f>
        <v>71</v>
      </c>
      <c r="K70" s="311">
        <v>20</v>
      </c>
      <c r="L70" s="311">
        <v>5</v>
      </c>
      <c r="M70" s="312">
        <v>0.34</v>
      </c>
    </row>
    <row r="71" spans="2:13" ht="14.25" thickTop="1" thickBot="1" x14ac:dyDescent="0.25">
      <c r="B71" s="53" t="s">
        <v>33</v>
      </c>
      <c r="C71" s="310">
        <v>8760</v>
      </c>
      <c r="D71" s="54" t="s">
        <v>34</v>
      </c>
      <c r="E71" s="310">
        <f>E30</f>
        <v>0.5</v>
      </c>
    </row>
    <row r="72" spans="2:13" ht="14.25" thickTop="1" thickBot="1" x14ac:dyDescent="0.25">
      <c r="B72" s="56" t="s">
        <v>42</v>
      </c>
      <c r="C72" s="57"/>
      <c r="D72" s="58"/>
      <c r="E72" s="59"/>
    </row>
    <row r="73" spans="2:13" ht="13.5" thickBot="1" x14ac:dyDescent="0.25">
      <c r="B73" s="315"/>
      <c r="C73" s="315"/>
      <c r="D73" s="315"/>
      <c r="E73" s="315"/>
      <c r="F73" s="315"/>
      <c r="G73" s="315"/>
      <c r="H73" s="315"/>
      <c r="I73" s="315"/>
      <c r="J73" s="315"/>
      <c r="K73" s="315"/>
      <c r="L73" s="315"/>
      <c r="M73" s="315"/>
    </row>
    <row r="74" spans="2:13" ht="13.5" thickBot="1" x14ac:dyDescent="0.25">
      <c r="B74" s="47" t="s">
        <v>442</v>
      </c>
      <c r="C74" s="48"/>
      <c r="D74" s="49"/>
      <c r="E74" s="48"/>
      <c r="F74" s="50"/>
      <c r="G74" s="51" t="s">
        <v>1</v>
      </c>
      <c r="H74" s="51" t="s">
        <v>27</v>
      </c>
      <c r="I74" s="51" t="s">
        <v>412</v>
      </c>
      <c r="J74" s="51" t="s">
        <v>28</v>
      </c>
      <c r="K74" s="51" t="s">
        <v>29</v>
      </c>
      <c r="L74" s="51" t="s">
        <v>3</v>
      </c>
      <c r="M74" s="52" t="s">
        <v>15</v>
      </c>
    </row>
    <row r="75" spans="2:13" ht="14.25" thickTop="1" thickBot="1" x14ac:dyDescent="0.25">
      <c r="B75" s="53" t="s">
        <v>30</v>
      </c>
      <c r="C75" s="310">
        <v>10</v>
      </c>
      <c r="D75" s="54" t="s">
        <v>40</v>
      </c>
      <c r="E75" s="310">
        <f>E28</f>
        <v>140000</v>
      </c>
      <c r="F75" s="55" t="s">
        <v>41</v>
      </c>
      <c r="G75" s="311">
        <f>2+1.3</f>
        <v>3.3</v>
      </c>
      <c r="H75" s="311">
        <f>1+1.3</f>
        <v>2.2999999999999998</v>
      </c>
      <c r="I75" s="311">
        <f>0.25+1.3</f>
        <v>1.55</v>
      </c>
      <c r="J75" s="311">
        <f>142*E76</f>
        <v>71</v>
      </c>
      <c r="K75" s="311">
        <v>20</v>
      </c>
      <c r="L75" s="311">
        <v>5</v>
      </c>
      <c r="M75" s="312">
        <v>0.2</v>
      </c>
    </row>
    <row r="76" spans="2:13" ht="14.25" thickTop="1" thickBot="1" x14ac:dyDescent="0.25">
      <c r="B76" s="53" t="s">
        <v>33</v>
      </c>
      <c r="C76" s="310">
        <v>8760</v>
      </c>
      <c r="D76" s="54" t="s">
        <v>34</v>
      </c>
      <c r="E76" s="310">
        <f>E30</f>
        <v>0.5</v>
      </c>
    </row>
    <row r="77" spans="2:13" ht="14.25" thickTop="1" thickBot="1" x14ac:dyDescent="0.25">
      <c r="B77" s="56" t="s">
        <v>443</v>
      </c>
      <c r="C77" s="57"/>
      <c r="D77" s="58"/>
      <c r="E77" s="59"/>
    </row>
    <row r="79" spans="2:13" ht="13.5" thickBot="1" x14ac:dyDescent="0.25"/>
    <row r="80" spans="2:13" ht="13.5" thickBot="1" x14ac:dyDescent="0.25">
      <c r="B80" s="47" t="s">
        <v>444</v>
      </c>
      <c r="C80" s="48"/>
      <c r="D80" s="49"/>
      <c r="E80" s="48"/>
      <c r="F80" s="50"/>
      <c r="G80" s="51" t="s">
        <v>1</v>
      </c>
      <c r="H80" s="51" t="s">
        <v>27</v>
      </c>
      <c r="I80" s="51" t="s">
        <v>412</v>
      </c>
      <c r="J80" s="51" t="s">
        <v>28</v>
      </c>
      <c r="K80" s="51" t="s">
        <v>29</v>
      </c>
      <c r="L80" s="51" t="s">
        <v>3</v>
      </c>
      <c r="M80" s="52" t="s">
        <v>15</v>
      </c>
    </row>
    <row r="81" spans="2:13" ht="14.25" thickTop="1" thickBot="1" x14ac:dyDescent="0.25">
      <c r="B81" s="53" t="s">
        <v>30</v>
      </c>
      <c r="C81" s="310">
        <v>1</v>
      </c>
      <c r="D81" s="54" t="s">
        <v>40</v>
      </c>
      <c r="E81" s="310">
        <f>E35</f>
        <v>145000</v>
      </c>
      <c r="F81" s="55" t="s">
        <v>41</v>
      </c>
      <c r="G81" s="311">
        <f>7+1.5</f>
        <v>8.5</v>
      </c>
      <c r="H81" s="311">
        <f>5.17*0.84+1.5</f>
        <v>5.8427999999999995</v>
      </c>
      <c r="I81" s="311">
        <f>1.92*0.84+1.5</f>
        <v>3.1128</v>
      </c>
      <c r="J81" s="311">
        <f>150*E82</f>
        <v>225</v>
      </c>
      <c r="K81" s="311">
        <v>20</v>
      </c>
      <c r="L81" s="311">
        <v>5</v>
      </c>
      <c r="M81" s="312">
        <v>0.34</v>
      </c>
    </row>
    <row r="82" spans="2:13" ht="14.25" thickTop="1" thickBot="1" x14ac:dyDescent="0.25">
      <c r="B82" s="53" t="s">
        <v>33</v>
      </c>
      <c r="C82" s="310">
        <v>8760</v>
      </c>
      <c r="D82" s="54" t="s">
        <v>34</v>
      </c>
      <c r="E82" s="310">
        <f>E37</f>
        <v>1.5</v>
      </c>
    </row>
    <row r="83" spans="2:13" ht="14.25" thickTop="1" thickBot="1" x14ac:dyDescent="0.25">
      <c r="B83" s="56" t="s">
        <v>42</v>
      </c>
      <c r="C83" s="57"/>
      <c r="D83" s="58"/>
      <c r="E83" s="59"/>
    </row>
    <row r="84" spans="2:13" ht="13.5" thickBot="1" x14ac:dyDescent="0.25">
      <c r="B84" s="315"/>
      <c r="C84" s="315"/>
      <c r="D84" s="315"/>
      <c r="E84" s="315"/>
      <c r="F84" s="315"/>
      <c r="G84" s="315"/>
      <c r="H84" s="315"/>
      <c r="I84" s="315"/>
      <c r="J84" s="315"/>
      <c r="K84" s="315"/>
      <c r="L84" s="315"/>
      <c r="M84" s="315"/>
    </row>
    <row r="85" spans="2:13" ht="13.5" thickBot="1" x14ac:dyDescent="0.25">
      <c r="B85" s="47" t="s">
        <v>445</v>
      </c>
      <c r="C85" s="48"/>
      <c r="D85" s="49"/>
      <c r="E85" s="48"/>
      <c r="F85" s="50"/>
      <c r="G85" s="51" t="s">
        <v>1</v>
      </c>
      <c r="H85" s="51" t="s">
        <v>27</v>
      </c>
      <c r="I85" s="51" t="s">
        <v>412</v>
      </c>
      <c r="J85" s="51" t="s">
        <v>28</v>
      </c>
      <c r="K85" s="51" t="s">
        <v>29</v>
      </c>
      <c r="L85" s="51" t="s">
        <v>3</v>
      </c>
      <c r="M85" s="52" t="s">
        <v>15</v>
      </c>
    </row>
    <row r="86" spans="2:13" ht="14.25" thickTop="1" thickBot="1" x14ac:dyDescent="0.25">
      <c r="B86" s="53" t="s">
        <v>30</v>
      </c>
      <c r="C86" s="310">
        <v>10</v>
      </c>
      <c r="D86" s="54" t="s">
        <v>40</v>
      </c>
      <c r="E86" s="310">
        <f>E35</f>
        <v>145000</v>
      </c>
      <c r="F86" s="55" t="s">
        <v>41</v>
      </c>
      <c r="G86" s="311">
        <f>7+1.5</f>
        <v>8.5</v>
      </c>
      <c r="H86" s="311">
        <f>7.17*0.84+1.5</f>
        <v>7.5228000000000002</v>
      </c>
      <c r="I86" s="311">
        <f>4.67*0.84+1.5</f>
        <v>5.4227999999999996</v>
      </c>
      <c r="J86" s="311">
        <f>150*E87</f>
        <v>225</v>
      </c>
      <c r="K86" s="311">
        <v>20</v>
      </c>
      <c r="L86" s="311">
        <v>5</v>
      </c>
      <c r="M86" s="312">
        <v>0.2</v>
      </c>
    </row>
    <row r="87" spans="2:13" ht="14.25" thickTop="1" thickBot="1" x14ac:dyDescent="0.25">
      <c r="B87" s="53" t="s">
        <v>33</v>
      </c>
      <c r="C87" s="310">
        <v>8760</v>
      </c>
      <c r="D87" s="54" t="s">
        <v>34</v>
      </c>
      <c r="E87" s="310">
        <f>E37</f>
        <v>1.5</v>
      </c>
    </row>
    <row r="88" spans="2:13" ht="14.25" thickTop="1" thickBot="1" x14ac:dyDescent="0.25">
      <c r="B88" s="56" t="s">
        <v>446</v>
      </c>
      <c r="C88" s="57"/>
      <c r="D88" s="58"/>
      <c r="E88" s="59"/>
    </row>
    <row r="90" spans="2:13" ht="13.5" thickBot="1" x14ac:dyDescent="0.25"/>
    <row r="91" spans="2:13" ht="13.5" thickBot="1" x14ac:dyDescent="0.25">
      <c r="B91" s="47" t="s">
        <v>462</v>
      </c>
      <c r="C91" s="48"/>
      <c r="D91" s="49"/>
      <c r="E91" s="48"/>
      <c r="F91" s="50"/>
      <c r="G91" s="51" t="s">
        <v>1</v>
      </c>
      <c r="H91" s="51" t="s">
        <v>27</v>
      </c>
      <c r="I91" s="51" t="s">
        <v>412</v>
      </c>
      <c r="J91" s="51" t="s">
        <v>28</v>
      </c>
      <c r="K91" s="51" t="s">
        <v>29</v>
      </c>
      <c r="L91" s="51" t="s">
        <v>3</v>
      </c>
      <c r="M91" s="52" t="s">
        <v>15</v>
      </c>
    </row>
    <row r="92" spans="2:13" ht="14.25" thickTop="1" thickBot="1" x14ac:dyDescent="0.25">
      <c r="B92" s="53" t="s">
        <v>30</v>
      </c>
      <c r="C92" s="310">
        <v>1</v>
      </c>
      <c r="D92" s="54" t="s">
        <v>40</v>
      </c>
      <c r="E92" s="310">
        <f>E42</f>
        <v>150000</v>
      </c>
      <c r="F92" s="55" t="s">
        <v>41</v>
      </c>
      <c r="G92" s="311">
        <f>10+1.5</f>
        <v>11.5</v>
      </c>
      <c r="H92" s="311">
        <f>5.17*1.2+1.5</f>
        <v>7.7039999999999997</v>
      </c>
      <c r="I92" s="311">
        <f>1.92*1.2+1.5</f>
        <v>3.8039999999999998</v>
      </c>
      <c r="J92" s="311">
        <f>157*E93</f>
        <v>314</v>
      </c>
      <c r="K92" s="311">
        <v>55</v>
      </c>
      <c r="L92" s="311">
        <v>5</v>
      </c>
      <c r="M92" s="312">
        <v>1.1299999999999999</v>
      </c>
    </row>
    <row r="93" spans="2:13" ht="14.25" thickTop="1" thickBot="1" x14ac:dyDescent="0.25">
      <c r="B93" s="53" t="s">
        <v>33</v>
      </c>
      <c r="C93" s="310">
        <v>8760</v>
      </c>
      <c r="D93" s="54" t="s">
        <v>34</v>
      </c>
      <c r="E93" s="310">
        <f>E44</f>
        <v>2</v>
      </c>
      <c r="F93" s="54" t="s">
        <v>36</v>
      </c>
    </row>
    <row r="94" spans="2:13" ht="14.25" thickTop="1" thickBot="1" x14ac:dyDescent="0.25">
      <c r="B94" s="56" t="s">
        <v>42</v>
      </c>
      <c r="C94" s="57"/>
      <c r="D94" s="58"/>
      <c r="E94" s="59"/>
      <c r="F94" s="60" t="s">
        <v>38</v>
      </c>
    </row>
    <row r="95" spans="2:13" ht="13.5" thickBot="1" x14ac:dyDescent="0.25">
      <c r="B95" s="315"/>
      <c r="C95" s="315"/>
      <c r="D95" s="315"/>
      <c r="E95" s="315"/>
      <c r="F95" s="315"/>
      <c r="G95" s="315"/>
      <c r="H95" s="315"/>
      <c r="I95" s="315"/>
      <c r="J95" s="315"/>
      <c r="K95" s="315"/>
      <c r="L95" s="315"/>
      <c r="M95" s="315"/>
    </row>
    <row r="96" spans="2:13" ht="13.5" thickBot="1" x14ac:dyDescent="0.25">
      <c r="B96" s="47" t="s">
        <v>463</v>
      </c>
      <c r="C96" s="48"/>
      <c r="D96" s="49"/>
      <c r="E96" s="48"/>
      <c r="F96" s="50"/>
      <c r="G96" s="51" t="s">
        <v>1</v>
      </c>
      <c r="H96" s="51" t="s">
        <v>27</v>
      </c>
      <c r="I96" s="51" t="s">
        <v>412</v>
      </c>
      <c r="J96" s="51" t="s">
        <v>28</v>
      </c>
      <c r="K96" s="51" t="s">
        <v>29</v>
      </c>
      <c r="L96" s="51" t="s">
        <v>3</v>
      </c>
      <c r="M96" s="52" t="s">
        <v>15</v>
      </c>
    </row>
    <row r="97" spans="2:13" ht="14.25" thickTop="1" thickBot="1" x14ac:dyDescent="0.25">
      <c r="B97" s="53" t="s">
        <v>30</v>
      </c>
      <c r="C97" s="310">
        <v>10</v>
      </c>
      <c r="D97" s="54" t="s">
        <v>40</v>
      </c>
      <c r="E97" s="310">
        <f>E42</f>
        <v>150000</v>
      </c>
      <c r="F97" s="55" t="s">
        <v>41</v>
      </c>
      <c r="G97" s="311">
        <f>10+1.5</f>
        <v>11.5</v>
      </c>
      <c r="H97" s="311">
        <f>7.17*1.2+1.5</f>
        <v>10.103999999999999</v>
      </c>
      <c r="I97" s="311">
        <f>1.2*4.67+1.5</f>
        <v>7.1040000000000001</v>
      </c>
      <c r="J97" s="311">
        <f>157*E98</f>
        <v>314</v>
      </c>
      <c r="K97" s="311">
        <v>55</v>
      </c>
      <c r="L97" s="311">
        <v>5</v>
      </c>
      <c r="M97" s="312">
        <v>0.28000000000000003</v>
      </c>
    </row>
    <row r="98" spans="2:13" ht="14.25" thickTop="1" thickBot="1" x14ac:dyDescent="0.25">
      <c r="B98" s="53" t="s">
        <v>33</v>
      </c>
      <c r="C98" s="310">
        <v>8760</v>
      </c>
      <c r="D98" s="54" t="s">
        <v>34</v>
      </c>
      <c r="E98" s="310">
        <f>E44</f>
        <v>2</v>
      </c>
      <c r="F98" s="54" t="s">
        <v>36</v>
      </c>
    </row>
    <row r="99" spans="2:13" ht="14.25" thickTop="1" thickBot="1" x14ac:dyDescent="0.25">
      <c r="B99" s="56" t="s">
        <v>446</v>
      </c>
      <c r="C99" s="57"/>
      <c r="D99" s="58"/>
      <c r="E99" s="59"/>
      <c r="F99" s="60" t="s">
        <v>38</v>
      </c>
    </row>
    <row r="101" spans="2:13" ht="13.5" thickBot="1" x14ac:dyDescent="0.25"/>
    <row r="102" spans="2:13" ht="13.5" thickBot="1" x14ac:dyDescent="0.25">
      <c r="B102" s="47" t="s">
        <v>447</v>
      </c>
      <c r="C102" s="48"/>
      <c r="D102" s="49"/>
      <c r="E102" s="48"/>
      <c r="F102" s="50"/>
      <c r="G102" s="51" t="s">
        <v>1</v>
      </c>
      <c r="H102" s="51" t="s">
        <v>27</v>
      </c>
      <c r="I102" s="51" t="s">
        <v>412</v>
      </c>
      <c r="J102" s="51" t="s">
        <v>28</v>
      </c>
      <c r="K102" s="51" t="s">
        <v>29</v>
      </c>
      <c r="L102" s="51" t="s">
        <v>3</v>
      </c>
      <c r="M102" s="52" t="s">
        <v>15</v>
      </c>
    </row>
    <row r="103" spans="2:13" ht="14.25" thickTop="1" thickBot="1" x14ac:dyDescent="0.25">
      <c r="B103" s="53" t="s">
        <v>30</v>
      </c>
      <c r="C103" s="310">
        <v>1</v>
      </c>
      <c r="D103" s="54" t="s">
        <v>40</v>
      </c>
      <c r="E103" s="310">
        <f>E49</f>
        <v>150000</v>
      </c>
      <c r="F103" s="55" t="s">
        <v>41</v>
      </c>
      <c r="G103" s="311">
        <f>9.19*E104+3.22+1.5</f>
        <v>27.694999999999997</v>
      </c>
      <c r="H103" s="311">
        <f>5.17*1.12*E104+5.17*0.37+1.5</f>
        <v>17.888900000000003</v>
      </c>
      <c r="I103" s="311">
        <f>1.92*1.12*E104+1.92*0.37+1.5</f>
        <v>7.5864000000000011</v>
      </c>
      <c r="J103" s="311">
        <f>157*E104</f>
        <v>392.5</v>
      </c>
      <c r="K103" s="311">
        <v>55</v>
      </c>
      <c r="L103" s="311">
        <v>5</v>
      </c>
      <c r="M103" s="312">
        <v>1.1299999999999999</v>
      </c>
    </row>
    <row r="104" spans="2:13" ht="14.25" thickTop="1" thickBot="1" x14ac:dyDescent="0.25">
      <c r="B104" s="53" t="s">
        <v>33</v>
      </c>
      <c r="C104" s="310">
        <v>8760</v>
      </c>
      <c r="D104" s="54" t="s">
        <v>34</v>
      </c>
      <c r="E104" s="310">
        <f>E51</f>
        <v>2.5</v>
      </c>
    </row>
    <row r="105" spans="2:13" ht="14.25" thickTop="1" thickBot="1" x14ac:dyDescent="0.25">
      <c r="B105" s="56" t="s">
        <v>42</v>
      </c>
      <c r="C105" s="57"/>
      <c r="D105" s="58"/>
      <c r="E105" s="59"/>
    </row>
    <row r="106" spans="2:13" ht="13.5" thickBot="1" x14ac:dyDescent="0.25">
      <c r="B106" s="315"/>
      <c r="C106" s="315"/>
      <c r="D106" s="315"/>
      <c r="E106" s="315"/>
      <c r="F106" s="315"/>
      <c r="G106" s="315"/>
      <c r="H106" s="315"/>
      <c r="I106" s="315"/>
      <c r="J106" s="315"/>
      <c r="K106" s="315"/>
      <c r="L106" s="315"/>
      <c r="M106" s="315"/>
    </row>
    <row r="107" spans="2:13" ht="13.5" thickBot="1" x14ac:dyDescent="0.25">
      <c r="B107" s="47" t="s">
        <v>448</v>
      </c>
      <c r="C107" s="48"/>
      <c r="D107" s="49"/>
      <c r="E107" s="48"/>
      <c r="F107" s="50"/>
      <c r="G107" s="51" t="s">
        <v>1</v>
      </c>
      <c r="H107" s="51" t="s">
        <v>27</v>
      </c>
      <c r="I107" s="51" t="s">
        <v>412</v>
      </c>
      <c r="J107" s="51" t="s">
        <v>28</v>
      </c>
      <c r="K107" s="51" t="s">
        <v>29</v>
      </c>
      <c r="L107" s="51" t="s">
        <v>3</v>
      </c>
      <c r="M107" s="52" t="s">
        <v>15</v>
      </c>
    </row>
    <row r="108" spans="2:13" ht="14.25" thickTop="1" thickBot="1" x14ac:dyDescent="0.25">
      <c r="B108" s="53" t="s">
        <v>30</v>
      </c>
      <c r="C108" s="310">
        <v>10</v>
      </c>
      <c r="D108" s="54" t="s">
        <v>40</v>
      </c>
      <c r="E108" s="310">
        <f>E49</f>
        <v>150000</v>
      </c>
      <c r="F108" s="55" t="s">
        <v>41</v>
      </c>
      <c r="G108" s="311">
        <f>9.19*E109+3.22+1.5</f>
        <v>27.694999999999997</v>
      </c>
      <c r="H108" s="311">
        <f>7.17*1.12*E109+7.17*0.37+1.5</f>
        <v>24.228899999999999</v>
      </c>
      <c r="I108" s="311">
        <f>4.67*1.12*E109+4.67*0.37+1.5</f>
        <v>16.303899999999999</v>
      </c>
      <c r="J108" s="311">
        <f>157*E109</f>
        <v>392.5</v>
      </c>
      <c r="K108" s="311">
        <v>55</v>
      </c>
      <c r="L108" s="311">
        <v>5</v>
      </c>
      <c r="M108" s="312">
        <v>0.28000000000000003</v>
      </c>
    </row>
    <row r="109" spans="2:13" ht="14.25" thickTop="1" thickBot="1" x14ac:dyDescent="0.25">
      <c r="B109" s="53" t="s">
        <v>33</v>
      </c>
      <c r="C109" s="310">
        <v>8760</v>
      </c>
      <c r="D109" s="54" t="s">
        <v>34</v>
      </c>
      <c r="E109" s="310">
        <f>E51</f>
        <v>2.5</v>
      </c>
    </row>
    <row r="110" spans="2:13" ht="14.25" thickTop="1" thickBot="1" x14ac:dyDescent="0.25">
      <c r="B110" s="56" t="s">
        <v>446</v>
      </c>
      <c r="C110" s="57"/>
      <c r="D110" s="58"/>
      <c r="E110" s="59"/>
    </row>
  </sheetData>
  <mergeCells count="6">
    <mergeCell ref="D9:D10"/>
    <mergeCell ref="E9:F9"/>
    <mergeCell ref="G9:H9"/>
    <mergeCell ref="A1:M1"/>
    <mergeCell ref="A2:M2"/>
    <mergeCell ref="A3:M3"/>
  </mergeCells>
  <phoneticPr fontId="3" type="noConversion"/>
  <pageMargins left="0.75" right="0.75" top="1" bottom="1" header="0.5" footer="0.5"/>
  <pageSetup scale="70" orientation="portrait" r:id="rId1"/>
  <headerFooter alignWithMargins="0">
    <oddHeader>&amp;RHot Oil Heater - &amp;D</oddHead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4477-D47C-42AD-B933-6F7CFB253239}">
  <sheetPr codeName="Sheet3">
    <tabColor indexed="8"/>
  </sheetPr>
  <dimension ref="A1:O33"/>
  <sheetViews>
    <sheetView zoomScaleNormal="100" workbookViewId="0">
      <selection activeCell="A2" sqref="A2:L2"/>
    </sheetView>
  </sheetViews>
  <sheetFormatPr defaultRowHeight="12.75" x14ac:dyDescent="0.2"/>
  <cols>
    <col min="1" max="1" width="12.140625" bestFit="1" customWidth="1"/>
    <col min="3" max="3" width="14.28515625" customWidth="1"/>
    <col min="4" max="4" width="11.140625" bestFit="1" customWidth="1"/>
    <col min="7" max="7" width="14.28515625" customWidth="1"/>
  </cols>
  <sheetData>
    <row r="1" spans="1:15" ht="20.25" x14ac:dyDescent="0.3">
      <c r="A1" s="598" t="s">
        <v>509</v>
      </c>
      <c r="B1" s="598"/>
      <c r="C1" s="598"/>
      <c r="D1" s="598"/>
      <c r="E1" s="598"/>
      <c r="F1" s="598"/>
      <c r="G1" s="598"/>
      <c r="H1" s="598"/>
      <c r="I1" s="598"/>
      <c r="J1" s="598"/>
      <c r="K1" s="598"/>
      <c r="L1" s="598"/>
      <c r="M1" s="466"/>
      <c r="N1" s="466"/>
      <c r="O1" s="466"/>
    </row>
    <row r="2" spans="1:15" x14ac:dyDescent="0.2">
      <c r="A2" s="599">
        <v>40876</v>
      </c>
      <c r="B2" s="599"/>
      <c r="C2" s="599"/>
      <c r="D2" s="599"/>
      <c r="E2" s="599"/>
      <c r="F2" s="599"/>
      <c r="G2" s="599"/>
      <c r="H2" s="599"/>
      <c r="I2" s="599"/>
      <c r="J2" s="599"/>
      <c r="K2" s="599"/>
      <c r="L2" s="599"/>
      <c r="M2" s="467"/>
      <c r="N2" s="467"/>
      <c r="O2" s="467"/>
    </row>
    <row r="3" spans="1:15" ht="39.75" customHeight="1" x14ac:dyDescent="0.2">
      <c r="A3" s="606" t="s">
        <v>522</v>
      </c>
      <c r="B3" s="606"/>
      <c r="C3" s="606"/>
      <c r="D3" s="606"/>
      <c r="E3" s="606"/>
      <c r="F3" s="606"/>
      <c r="G3" s="606"/>
      <c r="H3" s="606"/>
      <c r="I3" s="606"/>
      <c r="J3" s="606"/>
      <c r="K3" s="606"/>
      <c r="L3" s="606"/>
      <c r="M3" s="467"/>
      <c r="N3" s="467"/>
      <c r="O3" s="467"/>
    </row>
    <row r="5" spans="1:15" x14ac:dyDescent="0.2">
      <c r="B5" s="1" t="s">
        <v>365</v>
      </c>
    </row>
    <row r="6" spans="1:15" x14ac:dyDescent="0.2">
      <c r="B6" s="146">
        <f>Inputs!D16</f>
        <v>400</v>
      </c>
      <c r="C6" t="s">
        <v>0</v>
      </c>
      <c r="H6" s="146" t="s">
        <v>255</v>
      </c>
    </row>
    <row r="7" spans="1:15" x14ac:dyDescent="0.2">
      <c r="B7" s="226">
        <f>Inputs!B76</f>
        <v>3744.8</v>
      </c>
      <c r="C7" t="s">
        <v>389</v>
      </c>
      <c r="H7" s="3" t="s">
        <v>22</v>
      </c>
    </row>
    <row r="8" spans="1:15" x14ac:dyDescent="0.2">
      <c r="B8" s="226">
        <f>Inputs!D53</f>
        <v>325</v>
      </c>
      <c r="C8" t="s">
        <v>368</v>
      </c>
      <c r="H8" s="3"/>
    </row>
    <row r="9" spans="1:15" x14ac:dyDescent="0.2">
      <c r="B9" s="227">
        <f>Inputs!D54</f>
        <v>-0.5</v>
      </c>
      <c r="C9" t="s">
        <v>369</v>
      </c>
      <c r="H9" s="3"/>
    </row>
    <row r="11" spans="1:15" ht="13.5" thickBot="1" x14ac:dyDescent="0.25"/>
    <row r="12" spans="1:15" ht="13.5" thickTop="1" x14ac:dyDescent="0.2">
      <c r="B12" s="145" t="s">
        <v>24</v>
      </c>
      <c r="C12" s="604" t="s">
        <v>4</v>
      </c>
      <c r="D12" s="601" t="s">
        <v>357</v>
      </c>
      <c r="E12" s="603"/>
      <c r="F12" s="601" t="s">
        <v>358</v>
      </c>
      <c r="G12" s="602"/>
    </row>
    <row r="13" spans="1:15" ht="13.5" thickBot="1" x14ac:dyDescent="0.25">
      <c r="C13" s="605"/>
      <c r="D13" s="8" t="s">
        <v>9</v>
      </c>
      <c r="E13" s="9" t="s">
        <v>10</v>
      </c>
      <c r="F13" s="8" t="s">
        <v>9</v>
      </c>
      <c r="G13" s="10" t="s">
        <v>10</v>
      </c>
    </row>
    <row r="14" spans="1:15" x14ac:dyDescent="0.2">
      <c r="C14" s="11" t="s">
        <v>1</v>
      </c>
      <c r="D14" s="12">
        <f t="shared" ref="D14:E16" si="0">D22+D30</f>
        <v>0.44313052433381206</v>
      </c>
      <c r="E14" s="13">
        <f t="shared" si="0"/>
        <v>1.9409116965820969</v>
      </c>
      <c r="F14" s="12">
        <f t="shared" ref="F14:G16" si="1">H22+H30</f>
        <v>0.44313052433381206</v>
      </c>
      <c r="G14" s="14">
        <f t="shared" si="1"/>
        <v>0.82971759376262977</v>
      </c>
    </row>
    <row r="15" spans="1:15" x14ac:dyDescent="0.2">
      <c r="C15" s="15" t="s">
        <v>15</v>
      </c>
      <c r="D15" s="16">
        <f t="shared" si="0"/>
        <v>6.4384386763630914</v>
      </c>
      <c r="E15" s="17">
        <f t="shared" si="0"/>
        <v>28.200361402470339</v>
      </c>
      <c r="F15" s="16">
        <f t="shared" si="1"/>
        <v>6.4384386763630914</v>
      </c>
      <c r="G15" s="18">
        <f t="shared" si="1"/>
        <v>12.055332577622254</v>
      </c>
    </row>
    <row r="16" spans="1:15" ht="13.5" thickBot="1" x14ac:dyDescent="0.25">
      <c r="C16" s="19" t="s">
        <v>3</v>
      </c>
      <c r="D16" s="20">
        <f t="shared" si="0"/>
        <v>0.98336879146615219</v>
      </c>
      <c r="E16" s="43">
        <f t="shared" si="0"/>
        <v>4.3071553066217465</v>
      </c>
      <c r="F16" s="20">
        <f t="shared" si="1"/>
        <v>0.98336879146615219</v>
      </c>
      <c r="G16" s="21">
        <f t="shared" si="1"/>
        <v>1.8412597251412235</v>
      </c>
    </row>
    <row r="17" spans="1:9" ht="13.5" thickTop="1" x14ac:dyDescent="0.2"/>
    <row r="18" spans="1:9" ht="13.5" thickBot="1" x14ac:dyDescent="0.25"/>
    <row r="19" spans="1:9" ht="14.25" thickTop="1" thickBot="1" x14ac:dyDescent="0.25">
      <c r="A19" s="4" t="s">
        <v>25</v>
      </c>
      <c r="B19" s="641" t="s">
        <v>364</v>
      </c>
      <c r="C19" s="638"/>
      <c r="D19" s="638"/>
      <c r="E19" s="639"/>
      <c r="F19" s="641" t="s">
        <v>358</v>
      </c>
      <c r="G19" s="638"/>
      <c r="H19" s="638"/>
      <c r="I19" s="642"/>
    </row>
    <row r="20" spans="1:9" x14ac:dyDescent="0.2">
      <c r="A20" s="5" t="s">
        <v>23</v>
      </c>
      <c r="B20" s="643" t="s">
        <v>4</v>
      </c>
      <c r="C20" s="23" t="s">
        <v>5</v>
      </c>
      <c r="D20" s="632" t="s">
        <v>8</v>
      </c>
      <c r="E20" s="640"/>
      <c r="F20" s="643" t="s">
        <v>4</v>
      </c>
      <c r="G20" s="23" t="s">
        <v>5</v>
      </c>
      <c r="H20" s="632" t="s">
        <v>8</v>
      </c>
      <c r="I20" s="633"/>
    </row>
    <row r="21" spans="1:9" ht="13.5" thickBot="1" x14ac:dyDescent="0.25">
      <c r="A21" s="5"/>
      <c r="B21" s="644"/>
      <c r="C21" s="24" t="s">
        <v>6</v>
      </c>
      <c r="D21" s="8" t="s">
        <v>9</v>
      </c>
      <c r="E21" s="22" t="s">
        <v>10</v>
      </c>
      <c r="F21" s="644"/>
      <c r="G21" s="24" t="s">
        <v>6</v>
      </c>
      <c r="H21" s="8" t="s">
        <v>9</v>
      </c>
      <c r="I21" s="10" t="s">
        <v>10</v>
      </c>
    </row>
    <row r="22" spans="1:9" x14ac:dyDescent="0.2">
      <c r="A22" s="5"/>
      <c r="B22" s="25" t="s">
        <v>1</v>
      </c>
      <c r="C22" s="220">
        <f>0.000181+0.00141*(-($B$9))*EXP((0.0251)*($B$8+460)-20.43)</f>
        <v>5.2193703181979169E-4</v>
      </c>
      <c r="D22" s="26">
        <f>$B$6*C22</f>
        <v>0.20877481272791668</v>
      </c>
      <c r="E22" s="27">
        <f>D22*8760/2000</f>
        <v>0.91443367974827505</v>
      </c>
      <c r="F22" s="34" t="s">
        <v>1</v>
      </c>
      <c r="G22" s="220">
        <f>0.000181+0.00141*(-($B$9))*EXP((0.0251)*($B$8+460)-20.43)</f>
        <v>5.2193703181979169E-4</v>
      </c>
      <c r="H22" s="26">
        <f>$B$6*G22</f>
        <v>0.20877481272791668</v>
      </c>
      <c r="I22" s="40">
        <f>H22*$B$7/2000</f>
        <v>0.39090995935175116</v>
      </c>
    </row>
    <row r="23" spans="1:9" x14ac:dyDescent="0.2">
      <c r="A23" s="5"/>
      <c r="B23" s="44" t="s">
        <v>15</v>
      </c>
      <c r="C23" s="221">
        <f>(0.0172*(-($B$9))*EXP((0.0251)*($B$8+460)-20.43))*0.94</f>
        <v>3.9094112982002785E-3</v>
      </c>
      <c r="D23" s="26">
        <f>$B$6*C23</f>
        <v>1.5637645192801113</v>
      </c>
      <c r="E23" s="27">
        <f>D23*8760/2000</f>
        <v>6.8492885944468869</v>
      </c>
      <c r="F23" s="45" t="s">
        <v>15</v>
      </c>
      <c r="G23" s="221">
        <f>(0.0172*(-($B$9))*EXP((0.0251)*($B$8+460)-20.43))*0.94</f>
        <v>3.9094112982002785E-3</v>
      </c>
      <c r="H23" s="26">
        <f>$B$6*G23</f>
        <v>1.5637645192801113</v>
      </c>
      <c r="I23" s="40">
        <f>H23*$B$7/2000</f>
        <v>2.9279926859000809</v>
      </c>
    </row>
    <row r="24" spans="1:9" ht="13.5" thickBot="1" x14ac:dyDescent="0.25">
      <c r="A24" s="6"/>
      <c r="B24" s="31" t="s">
        <v>3</v>
      </c>
      <c r="C24" s="222">
        <f>(0.00558*(-($B$9))*EXP((0.0251)*($B$8+460)-20.43))</f>
        <v>1.3492401684783249E-3</v>
      </c>
      <c r="D24" s="32">
        <f>$B$6*C24</f>
        <v>0.53969606739132991</v>
      </c>
      <c r="E24" s="33">
        <f>D24*8760/2000</f>
        <v>2.363868775174025</v>
      </c>
      <c r="F24" s="38" t="s">
        <v>3</v>
      </c>
      <c r="G24" s="222">
        <f>(0.00558*(-($B$9))*EXP((0.0251)*($B$8+460)-20.43))</f>
        <v>1.3492401684783249E-3</v>
      </c>
      <c r="H24" s="32">
        <f>$B$6*G24</f>
        <v>0.53969606739132991</v>
      </c>
      <c r="I24" s="41">
        <f>H24*$B$7/2000</f>
        <v>1.0105269165835262</v>
      </c>
    </row>
    <row r="25" spans="1:9" ht="13.5" thickTop="1" x14ac:dyDescent="0.2"/>
    <row r="26" spans="1:9" ht="13.5" thickBot="1" x14ac:dyDescent="0.25"/>
    <row r="27" spans="1:9" ht="14.25" thickTop="1" thickBot="1" x14ac:dyDescent="0.25">
      <c r="A27" s="4" t="s">
        <v>26</v>
      </c>
      <c r="B27" s="641" t="s">
        <v>364</v>
      </c>
      <c r="C27" s="638"/>
      <c r="D27" s="638"/>
      <c r="E27" s="639"/>
      <c r="F27" s="641" t="s">
        <v>358</v>
      </c>
      <c r="G27" s="638"/>
      <c r="H27" s="638"/>
      <c r="I27" s="642"/>
    </row>
    <row r="28" spans="1:9" x14ac:dyDescent="0.2">
      <c r="A28" s="5" t="s">
        <v>23</v>
      </c>
      <c r="B28" s="643" t="s">
        <v>4</v>
      </c>
      <c r="C28" s="23" t="s">
        <v>5</v>
      </c>
      <c r="D28" s="632" t="s">
        <v>8</v>
      </c>
      <c r="E28" s="640"/>
      <c r="F28" s="643" t="s">
        <v>4</v>
      </c>
      <c r="G28" s="23" t="s">
        <v>5</v>
      </c>
      <c r="H28" s="632" t="s">
        <v>8</v>
      </c>
      <c r="I28" s="633"/>
    </row>
    <row r="29" spans="1:9" ht="13.5" thickBot="1" x14ac:dyDescent="0.25">
      <c r="A29" s="5"/>
      <c r="B29" s="644"/>
      <c r="C29" s="24" t="s">
        <v>6</v>
      </c>
      <c r="D29" s="8" t="s">
        <v>9</v>
      </c>
      <c r="E29" s="22" t="s">
        <v>10</v>
      </c>
      <c r="F29" s="644"/>
      <c r="G29" s="24" t="s">
        <v>6</v>
      </c>
      <c r="H29" s="8" t="s">
        <v>9</v>
      </c>
      <c r="I29" s="10" t="s">
        <v>10</v>
      </c>
    </row>
    <row r="30" spans="1:9" x14ac:dyDescent="0.2">
      <c r="A30" s="5"/>
      <c r="B30" s="25" t="s">
        <v>1</v>
      </c>
      <c r="C30" s="220">
        <f>0.000332+0.00105*(-($B$9))*EXP((0.0251)*($B$8+460)-20.43)</f>
        <v>5.8588927901473853E-4</v>
      </c>
      <c r="D30" s="26">
        <f>$B$6*C30</f>
        <v>0.23435571160589541</v>
      </c>
      <c r="E30" s="27">
        <f>D30*8760/2000</f>
        <v>1.0264780168338219</v>
      </c>
      <c r="F30" s="34" t="s">
        <v>1</v>
      </c>
      <c r="G30" s="220">
        <f>0.000332+0.00105*(-($B$9))*EXP((0.0251)*($B$8+460)-20.43)</f>
        <v>5.8588927901473853E-4</v>
      </c>
      <c r="H30" s="26">
        <f>$B$6*G30</f>
        <v>0.23435571160589541</v>
      </c>
      <c r="I30" s="40">
        <f>H30*$B$7/2000</f>
        <v>0.43880763441087856</v>
      </c>
    </row>
    <row r="31" spans="1:9" x14ac:dyDescent="0.2">
      <c r="A31" s="5"/>
      <c r="B31" s="44" t="s">
        <v>15</v>
      </c>
      <c r="C31" s="221">
        <f>0.0504*(-($B$9))*EXP((0.0251)*($B$8+460)-20.43)</f>
        <v>1.2186685392707451E-2</v>
      </c>
      <c r="D31" s="26">
        <f>$B$6*C31</f>
        <v>4.8746741570829801</v>
      </c>
      <c r="E31" s="27">
        <f>D31*8760/2000</f>
        <v>21.351072808023453</v>
      </c>
      <c r="F31" s="45" t="s">
        <v>15</v>
      </c>
      <c r="G31" s="221">
        <f>0.0504*(-($B$9))*EXP((0.0251)*($B$8+460)-20.43)</f>
        <v>1.2186685392707451E-2</v>
      </c>
      <c r="H31" s="26">
        <f>$B$6*G31</f>
        <v>4.8746741570829801</v>
      </c>
      <c r="I31" s="40">
        <f>H31*$B$7/2000</f>
        <v>9.1273398917221726</v>
      </c>
    </row>
    <row r="32" spans="1:9" ht="13.5" thickBot="1" x14ac:dyDescent="0.25">
      <c r="A32" s="6"/>
      <c r="B32" s="31" t="s">
        <v>3</v>
      </c>
      <c r="C32" s="222">
        <f>(0.00488*(-($B$9))*EXP((0.0251)*($B$8+460)-20.43))*0.94</f>
        <v>1.1091818101870558E-3</v>
      </c>
      <c r="D32" s="32">
        <f>$B$6*C32</f>
        <v>0.44367272407482233</v>
      </c>
      <c r="E32" s="33">
        <f>D32*8760/2000</f>
        <v>1.9432865314477219</v>
      </c>
      <c r="F32" s="38" t="s">
        <v>3</v>
      </c>
      <c r="G32" s="222">
        <f>(0.00488*(-($B$9))*EXP((0.0251)*($B$8+460)-20.43))*0.94</f>
        <v>1.1091818101870558E-3</v>
      </c>
      <c r="H32" s="32">
        <f>$B$6*G32</f>
        <v>0.44367272407482233</v>
      </c>
      <c r="I32" s="41">
        <f>H32*$B$7/2000</f>
        <v>0.83073280855769738</v>
      </c>
    </row>
    <row r="33" ht="13.5" thickTop="1" x14ac:dyDescent="0.2"/>
  </sheetData>
  <mergeCells count="18">
    <mergeCell ref="A1:L1"/>
    <mergeCell ref="A2:L2"/>
    <mergeCell ref="C12:C13"/>
    <mergeCell ref="B27:E27"/>
    <mergeCell ref="F12:G12"/>
    <mergeCell ref="B20:B21"/>
    <mergeCell ref="D20:E20"/>
    <mergeCell ref="F20:F21"/>
    <mergeCell ref="D12:E12"/>
    <mergeCell ref="A3:L3"/>
    <mergeCell ref="B28:B29"/>
    <mergeCell ref="D28:E28"/>
    <mergeCell ref="F28:F29"/>
    <mergeCell ref="B19:E19"/>
    <mergeCell ref="F19:I19"/>
    <mergeCell ref="F27:I27"/>
    <mergeCell ref="H20:I20"/>
    <mergeCell ref="H28:I28"/>
  </mergeCells>
  <phoneticPr fontId="3" type="noConversion"/>
  <pageMargins left="0.75" right="0.75" top="1" bottom="1" header="0.5" footer="0.5"/>
  <pageSetup scale="72" orientation="portrait" r:id="rId1"/>
  <headerFooter alignWithMargins="0">
    <oddHeader>&amp;RLOSL.Crit - &amp;D</oddHead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9567-7534-47B2-B4F7-D5F2B51B8B03}">
  <sheetPr codeName="Sheet8">
    <tabColor indexed="8"/>
  </sheetPr>
  <dimension ref="A1:U102"/>
  <sheetViews>
    <sheetView zoomScaleNormal="100" workbookViewId="0">
      <selection activeCell="A2" sqref="A2:I2"/>
    </sheetView>
  </sheetViews>
  <sheetFormatPr defaultRowHeight="12.75" x14ac:dyDescent="0.2"/>
  <cols>
    <col min="1" max="1" width="18" bestFit="1" customWidth="1"/>
    <col min="2" max="2" width="9.7109375" customWidth="1"/>
    <col min="3" max="3" width="4.85546875" bestFit="1" customWidth="1"/>
    <col min="4" max="4" width="4.5703125" bestFit="1" customWidth="1"/>
    <col min="5" max="5" width="5.28515625" bestFit="1" customWidth="1"/>
    <col min="6" max="6" width="20.28515625" customWidth="1"/>
    <col min="7" max="7" width="16.28515625" customWidth="1"/>
    <col min="8" max="8" width="14.7109375" bestFit="1" customWidth="1"/>
    <col min="9" max="9" width="12.5703125" bestFit="1" customWidth="1"/>
    <col min="10" max="10" width="12.28515625" bestFit="1" customWidth="1"/>
    <col min="11" max="11" width="10.7109375" customWidth="1"/>
    <col min="15" max="15" width="12" customWidth="1"/>
    <col min="16" max="16" width="6.7109375" customWidth="1"/>
    <col min="17" max="18" width="6.85546875" customWidth="1"/>
    <col min="19" max="19" width="14.140625" customWidth="1"/>
    <col min="24" max="24" width="29.140625" bestFit="1" customWidth="1"/>
    <col min="25" max="25" width="63.85546875" bestFit="1" customWidth="1"/>
  </cols>
  <sheetData>
    <row r="1" spans="1:15" ht="20.25" x14ac:dyDescent="0.3">
      <c r="A1" s="598" t="s">
        <v>509</v>
      </c>
      <c r="B1" s="598"/>
      <c r="C1" s="598"/>
      <c r="D1" s="598"/>
      <c r="E1" s="598"/>
      <c r="F1" s="598"/>
      <c r="G1" s="598"/>
      <c r="H1" s="598"/>
      <c r="I1" s="598"/>
      <c r="J1" s="466"/>
      <c r="K1" s="466"/>
      <c r="L1" s="466"/>
      <c r="M1" s="466"/>
      <c r="N1" s="466"/>
      <c r="O1" s="466"/>
    </row>
    <row r="2" spans="1:15" x14ac:dyDescent="0.2">
      <c r="A2" s="599">
        <v>40876</v>
      </c>
      <c r="B2" s="599"/>
      <c r="C2" s="599"/>
      <c r="D2" s="599"/>
      <c r="E2" s="599"/>
      <c r="F2" s="599"/>
      <c r="G2" s="599"/>
      <c r="H2" s="599"/>
      <c r="I2" s="599"/>
      <c r="J2" s="467"/>
      <c r="K2" s="467"/>
      <c r="L2" s="467"/>
      <c r="M2" s="467"/>
      <c r="N2" s="467"/>
      <c r="O2" s="467"/>
    </row>
    <row r="3" spans="1:15" ht="53.25" customHeight="1" x14ac:dyDescent="0.2">
      <c r="A3" s="606" t="s">
        <v>522</v>
      </c>
      <c r="B3" s="606"/>
      <c r="C3" s="606"/>
      <c r="D3" s="606"/>
      <c r="E3" s="606"/>
      <c r="F3" s="606"/>
      <c r="G3" s="606"/>
      <c r="H3" s="606"/>
      <c r="I3" s="606"/>
      <c r="J3" s="467"/>
      <c r="K3" s="467"/>
      <c r="L3" s="467"/>
      <c r="M3" s="467"/>
      <c r="N3" s="467"/>
      <c r="O3" s="467"/>
    </row>
    <row r="5" spans="1:15" x14ac:dyDescent="0.2">
      <c r="B5" s="1" t="s">
        <v>252</v>
      </c>
      <c r="F5" s="1"/>
    </row>
    <row r="6" spans="1:15" x14ac:dyDescent="0.2">
      <c r="B6" s="146">
        <f>Inputs!D16</f>
        <v>400</v>
      </c>
      <c r="C6" t="s">
        <v>0</v>
      </c>
      <c r="F6" s="1"/>
    </row>
    <row r="7" spans="1:15" x14ac:dyDescent="0.2">
      <c r="B7" s="146">
        <f>Inputs!D53</f>
        <v>325</v>
      </c>
      <c r="C7" t="s">
        <v>368</v>
      </c>
      <c r="G7" s="146" t="s">
        <v>255</v>
      </c>
    </row>
    <row r="8" spans="1:15" x14ac:dyDescent="0.2">
      <c r="B8" s="146">
        <f>Inputs!D54</f>
        <v>-0.5</v>
      </c>
      <c r="C8" t="s">
        <v>369</v>
      </c>
      <c r="G8" s="3" t="s">
        <v>22</v>
      </c>
    </row>
    <row r="9" spans="1:15" x14ac:dyDescent="0.2">
      <c r="B9" s="147">
        <f>(0.00141*(-($B$8))*EXP((0.0251)*($B$7+460)-20.43))*$B$6</f>
        <v>0.13637481272791668</v>
      </c>
      <c r="C9" t="s">
        <v>405</v>
      </c>
    </row>
    <row r="10" spans="1:15" x14ac:dyDescent="0.2">
      <c r="B10" s="147">
        <f>(0.00105*(-($B$8))*EXP((0.0251)*($B$7+460)-20.43))*$B$6</f>
        <v>0.10155571160589541</v>
      </c>
      <c r="C10" t="s">
        <v>406</v>
      </c>
    </row>
    <row r="11" spans="1:15" x14ac:dyDescent="0.2">
      <c r="B11" s="147">
        <f>LOSL.Crit!D23/0.94</f>
        <v>1.6635792758299057</v>
      </c>
      <c r="C11" t="s">
        <v>253</v>
      </c>
    </row>
    <row r="12" spans="1:15" x14ac:dyDescent="0.2">
      <c r="B12" s="147">
        <f>LOSL.Crit!D31</f>
        <v>4.8746741570829801</v>
      </c>
      <c r="C12" t="s">
        <v>254</v>
      </c>
    </row>
    <row r="13" spans="1:15" x14ac:dyDescent="0.2">
      <c r="B13" s="147"/>
    </row>
    <row r="14" spans="1:15" ht="13.5" thickBot="1" x14ac:dyDescent="0.25">
      <c r="B14" s="147"/>
    </row>
    <row r="15" spans="1:15" ht="13.5" thickTop="1" x14ac:dyDescent="0.2">
      <c r="A15" s="1" t="s">
        <v>316</v>
      </c>
      <c r="B15" s="604" t="s">
        <v>75</v>
      </c>
      <c r="C15" s="655" t="s">
        <v>78</v>
      </c>
      <c r="D15" s="649" t="s">
        <v>79</v>
      </c>
      <c r="E15" s="648" t="s">
        <v>169</v>
      </c>
      <c r="F15" s="656" t="s">
        <v>4</v>
      </c>
      <c r="G15" s="105" t="s">
        <v>315</v>
      </c>
    </row>
    <row r="16" spans="1:15" ht="13.5" thickBot="1" x14ac:dyDescent="0.25">
      <c r="B16" s="605"/>
      <c r="C16" s="619"/>
      <c r="D16" s="622"/>
      <c r="E16" s="625"/>
      <c r="F16" s="630"/>
      <c r="G16" s="93" t="s">
        <v>9</v>
      </c>
    </row>
    <row r="17" spans="2:7" x14ac:dyDescent="0.2">
      <c r="B17" s="149" t="s">
        <v>318</v>
      </c>
      <c r="C17" s="136"/>
      <c r="D17" s="136" t="s">
        <v>99</v>
      </c>
      <c r="E17" s="136"/>
      <c r="F17" s="64" t="s">
        <v>288</v>
      </c>
      <c r="G17" s="228">
        <f>K87</f>
        <v>2.716276766419016E-3</v>
      </c>
    </row>
    <row r="18" spans="2:7" x14ac:dyDescent="0.2">
      <c r="B18" s="150" t="s">
        <v>319</v>
      </c>
      <c r="C18" s="138" t="s">
        <v>99</v>
      </c>
      <c r="D18" s="138"/>
      <c r="E18" s="138" t="s">
        <v>99</v>
      </c>
      <c r="F18" s="133" t="s">
        <v>277</v>
      </c>
      <c r="G18" s="229">
        <f>K74</f>
        <v>8.597706544555106E-3</v>
      </c>
    </row>
    <row r="19" spans="2:7" x14ac:dyDescent="0.2">
      <c r="B19" s="150" t="s">
        <v>320</v>
      </c>
      <c r="C19" s="138" t="s">
        <v>99</v>
      </c>
      <c r="D19" s="138"/>
      <c r="E19" s="138" t="s">
        <v>99</v>
      </c>
      <c r="F19" s="133" t="s">
        <v>256</v>
      </c>
      <c r="G19" s="229">
        <f>K60</f>
        <v>8.3188635764029184E-4</v>
      </c>
    </row>
    <row r="20" spans="2:7" x14ac:dyDescent="0.2">
      <c r="B20" s="150" t="s">
        <v>321</v>
      </c>
      <c r="C20" s="138" t="s">
        <v>99</v>
      </c>
      <c r="D20" s="138"/>
      <c r="E20" s="138" t="s">
        <v>99</v>
      </c>
      <c r="F20" s="133" t="s">
        <v>257</v>
      </c>
      <c r="G20" s="229">
        <f>K61</f>
        <v>5.2402747188642024E-5</v>
      </c>
    </row>
    <row r="21" spans="2:7" x14ac:dyDescent="0.2">
      <c r="B21" s="150" t="s">
        <v>329</v>
      </c>
      <c r="C21" s="138" t="s">
        <v>99</v>
      </c>
      <c r="D21" s="138"/>
      <c r="E21" s="138" t="s">
        <v>99</v>
      </c>
      <c r="F21" s="133" t="s">
        <v>258</v>
      </c>
      <c r="G21" s="229">
        <f>K62</f>
        <v>2.274847939972057E-4</v>
      </c>
    </row>
    <row r="22" spans="2:7" x14ac:dyDescent="0.2">
      <c r="B22" s="150" t="s">
        <v>161</v>
      </c>
      <c r="C22" s="138" t="s">
        <v>99</v>
      </c>
      <c r="D22" s="138" t="s">
        <v>99</v>
      </c>
      <c r="E22" s="138"/>
      <c r="F22" s="133" t="s">
        <v>285</v>
      </c>
      <c r="G22" s="229">
        <f>K85</f>
        <v>2.4249569536981047E-3</v>
      </c>
    </row>
    <row r="23" spans="2:7" x14ac:dyDescent="0.2">
      <c r="B23" s="150" t="s">
        <v>322</v>
      </c>
      <c r="C23" s="138" t="s">
        <v>99</v>
      </c>
      <c r="D23" s="138"/>
      <c r="E23" s="138" t="s">
        <v>99</v>
      </c>
      <c r="F23" s="133" t="s">
        <v>259</v>
      </c>
      <c r="G23" s="229">
        <f>K63</f>
        <v>8.2782412917605593E-5</v>
      </c>
    </row>
    <row r="24" spans="2:7" x14ac:dyDescent="0.2">
      <c r="B24" s="150" t="s">
        <v>323</v>
      </c>
      <c r="C24" s="138" t="s">
        <v>99</v>
      </c>
      <c r="D24" s="138"/>
      <c r="E24" s="138" t="s">
        <v>99</v>
      </c>
      <c r="F24" s="133" t="s">
        <v>265</v>
      </c>
      <c r="G24" s="229">
        <f>K67</f>
        <v>3.1366206927420837E-6</v>
      </c>
    </row>
    <row r="25" spans="2:7" x14ac:dyDescent="0.2">
      <c r="B25" s="150" t="s">
        <v>324</v>
      </c>
      <c r="C25" s="138" t="s">
        <v>99</v>
      </c>
      <c r="D25" s="138"/>
      <c r="E25" s="138" t="s">
        <v>99</v>
      </c>
      <c r="F25" s="133" t="s">
        <v>260</v>
      </c>
      <c r="G25" s="229">
        <f>K64</f>
        <v>1.0364485767321668E-5</v>
      </c>
    </row>
    <row r="26" spans="2:7" x14ac:dyDescent="0.2">
      <c r="B26" s="150" t="s">
        <v>325</v>
      </c>
      <c r="C26" s="138"/>
      <c r="D26" s="138"/>
      <c r="E26" s="138" t="s">
        <v>99</v>
      </c>
      <c r="F26" s="133" t="s">
        <v>266</v>
      </c>
      <c r="G26" s="229">
        <f>K68</f>
        <v>2.0285027995337568E-5</v>
      </c>
    </row>
    <row r="27" spans="2:7" x14ac:dyDescent="0.2">
      <c r="B27" s="150" t="s">
        <v>263</v>
      </c>
      <c r="C27" s="138" t="s">
        <v>99</v>
      </c>
      <c r="D27" s="138"/>
      <c r="E27" s="138" t="s">
        <v>99</v>
      </c>
      <c r="F27" s="133" t="s">
        <v>264</v>
      </c>
      <c r="G27" s="229">
        <f>K66</f>
        <v>2.5911214418304169E-6</v>
      </c>
    </row>
    <row r="28" spans="2:7" x14ac:dyDescent="0.2">
      <c r="B28" s="150" t="s">
        <v>261</v>
      </c>
      <c r="C28" s="138" t="s">
        <v>99</v>
      </c>
      <c r="D28" s="138"/>
      <c r="E28" s="138" t="s">
        <v>99</v>
      </c>
      <c r="F28" s="133" t="s">
        <v>262</v>
      </c>
      <c r="G28" s="229">
        <f>K65</f>
        <v>3.0002458800141671E-6</v>
      </c>
    </row>
    <row r="29" spans="2:7" x14ac:dyDescent="0.2">
      <c r="B29" s="150" t="s">
        <v>286</v>
      </c>
      <c r="C29" s="138" t="s">
        <v>99</v>
      </c>
      <c r="D29" s="138" t="s">
        <v>99</v>
      </c>
      <c r="E29" s="138"/>
      <c r="F29" s="133" t="s">
        <v>287</v>
      </c>
      <c r="G29" s="229">
        <f>K86</f>
        <v>3.98562644176737E-4</v>
      </c>
    </row>
    <row r="30" spans="2:7" x14ac:dyDescent="0.2">
      <c r="B30" s="150" t="s">
        <v>289</v>
      </c>
      <c r="C30" s="138" t="s">
        <v>99</v>
      </c>
      <c r="D30" s="138" t="s">
        <v>99</v>
      </c>
      <c r="E30" s="138"/>
      <c r="F30" s="133" t="s">
        <v>290</v>
      </c>
      <c r="G30" s="229">
        <f>K88</f>
        <v>9.962131709911645E-4</v>
      </c>
    </row>
    <row r="31" spans="2:7" x14ac:dyDescent="0.2">
      <c r="B31" s="150" t="s">
        <v>291</v>
      </c>
      <c r="C31" s="138" t="s">
        <v>99</v>
      </c>
      <c r="D31" s="138" t="s">
        <v>99</v>
      </c>
      <c r="E31" s="138"/>
      <c r="F31" s="133" t="s">
        <v>292</v>
      </c>
      <c r="G31" s="229">
        <f>K89</f>
        <v>1.9848048276256203E-4</v>
      </c>
    </row>
    <row r="32" spans="2:7" x14ac:dyDescent="0.2">
      <c r="B32" s="150" t="s">
        <v>293</v>
      </c>
      <c r="C32" s="138" t="s">
        <v>99</v>
      </c>
      <c r="D32" s="138" t="s">
        <v>99</v>
      </c>
      <c r="E32" s="138"/>
      <c r="F32" s="133" t="s">
        <v>294</v>
      </c>
      <c r="G32" s="229">
        <f>K90</f>
        <v>1.3707119475035712E-3</v>
      </c>
    </row>
    <row r="33" spans="2:7" x14ac:dyDescent="0.2">
      <c r="B33" s="150" t="s">
        <v>267</v>
      </c>
      <c r="C33" s="138" t="s">
        <v>99</v>
      </c>
      <c r="D33" s="138"/>
      <c r="E33" s="138" t="s">
        <v>99</v>
      </c>
      <c r="F33" s="133" t="s">
        <v>268</v>
      </c>
      <c r="G33" s="229">
        <f>K69</f>
        <v>3.5373305148213454E-4</v>
      </c>
    </row>
    <row r="34" spans="2:7" x14ac:dyDescent="0.2">
      <c r="B34" s="150" t="s">
        <v>295</v>
      </c>
      <c r="C34" s="138" t="s">
        <v>99</v>
      </c>
      <c r="D34" s="138" t="s">
        <v>99</v>
      </c>
      <c r="E34" s="138"/>
      <c r="F34" s="133" t="s">
        <v>296</v>
      </c>
      <c r="G34" s="229">
        <f>K91</f>
        <v>1.8299372034128963E-3</v>
      </c>
    </row>
    <row r="35" spans="2:7" ht="13.5" customHeight="1" x14ac:dyDescent="0.2">
      <c r="B35" s="150" t="s">
        <v>269</v>
      </c>
      <c r="C35" s="138" t="s">
        <v>99</v>
      </c>
      <c r="D35" s="138"/>
      <c r="E35" s="138" t="s">
        <v>99</v>
      </c>
      <c r="F35" s="133" t="s">
        <v>270</v>
      </c>
      <c r="G35" s="229">
        <f>K70</f>
        <v>5.0458680709329179E-7</v>
      </c>
    </row>
    <row r="36" spans="2:7" x14ac:dyDescent="0.2">
      <c r="B36" s="150" t="s">
        <v>297</v>
      </c>
      <c r="C36" s="138" t="s">
        <v>99</v>
      </c>
      <c r="D36" s="138" t="s">
        <v>99</v>
      </c>
      <c r="E36" s="138"/>
      <c r="F36" s="133" t="s">
        <v>298</v>
      </c>
      <c r="G36" s="229">
        <f>K92</f>
        <v>6.510398152015269E-3</v>
      </c>
    </row>
    <row r="37" spans="2:7" x14ac:dyDescent="0.2">
      <c r="B37" s="150" t="s">
        <v>271</v>
      </c>
      <c r="C37" s="138" t="s">
        <v>99</v>
      </c>
      <c r="D37" s="138"/>
      <c r="E37" s="138" t="s">
        <v>99</v>
      </c>
      <c r="F37" s="133" t="s">
        <v>272</v>
      </c>
      <c r="G37" s="229">
        <f>K71</f>
        <v>2.2052097377280147E-4</v>
      </c>
    </row>
    <row r="38" spans="2:7" x14ac:dyDescent="0.2">
      <c r="B38" s="150" t="s">
        <v>273</v>
      </c>
      <c r="C38" s="138" t="s">
        <v>99</v>
      </c>
      <c r="D38" s="138"/>
      <c r="E38" s="138" t="s">
        <v>99</v>
      </c>
      <c r="F38" s="133" t="s">
        <v>274</v>
      </c>
      <c r="G38" s="229">
        <f>K72</f>
        <v>2.0757987452245021E-3</v>
      </c>
    </row>
    <row r="39" spans="2:7" x14ac:dyDescent="0.2">
      <c r="B39" s="150" t="s">
        <v>299</v>
      </c>
      <c r="C39" s="138" t="s">
        <v>99</v>
      </c>
      <c r="D39" s="138" t="s">
        <v>99</v>
      </c>
      <c r="E39" s="138"/>
      <c r="F39" s="133" t="s">
        <v>300</v>
      </c>
      <c r="G39" s="229">
        <f>K93</f>
        <v>3.5099201446602876E-2</v>
      </c>
    </row>
    <row r="40" spans="2:7" x14ac:dyDescent="0.2">
      <c r="B40" s="150" t="s">
        <v>301</v>
      </c>
      <c r="C40" s="138" t="s">
        <v>99</v>
      </c>
      <c r="D40" s="138" t="s">
        <v>99</v>
      </c>
      <c r="E40" s="138"/>
      <c r="F40" s="133" t="s">
        <v>326</v>
      </c>
      <c r="G40" s="229">
        <f>K94</f>
        <v>7.370043070827839E-3</v>
      </c>
    </row>
    <row r="41" spans="2:7" x14ac:dyDescent="0.2">
      <c r="B41" s="150" t="s">
        <v>275</v>
      </c>
      <c r="C41" s="138" t="s">
        <v>99</v>
      </c>
      <c r="D41" s="138"/>
      <c r="E41" s="138" t="s">
        <v>99</v>
      </c>
      <c r="F41" s="133" t="s">
        <v>276</v>
      </c>
      <c r="G41" s="229">
        <f>K73</f>
        <v>6.4096161982120838E-7</v>
      </c>
    </row>
    <row r="42" spans="2:7" x14ac:dyDescent="0.2">
      <c r="B42" s="150" t="s">
        <v>302</v>
      </c>
      <c r="C42" s="138" t="s">
        <v>99</v>
      </c>
      <c r="D42" s="138" t="s">
        <v>99</v>
      </c>
      <c r="E42" s="138"/>
      <c r="F42" s="133" t="s">
        <v>303</v>
      </c>
      <c r="G42" s="229">
        <f>K95</f>
        <v>4.505591685189554E-5</v>
      </c>
    </row>
    <row r="43" spans="2:7" x14ac:dyDescent="0.2">
      <c r="B43" s="150" t="s">
        <v>304</v>
      </c>
      <c r="C43" s="138" t="s">
        <v>99</v>
      </c>
      <c r="D43" s="138" t="s">
        <v>99</v>
      </c>
      <c r="E43" s="138"/>
      <c r="F43" s="133" t="s">
        <v>305</v>
      </c>
      <c r="G43" s="229">
        <f>K96</f>
        <v>1.3161620224124046E-5</v>
      </c>
    </row>
    <row r="44" spans="2:7" x14ac:dyDescent="0.2">
      <c r="B44" s="150" t="s">
        <v>278</v>
      </c>
      <c r="C44" s="138" t="s">
        <v>99</v>
      </c>
      <c r="D44" s="138" t="s">
        <v>99</v>
      </c>
      <c r="E44" s="138" t="s">
        <v>99</v>
      </c>
      <c r="F44" s="133" t="s">
        <v>279</v>
      </c>
      <c r="G44" s="229">
        <f>K75</f>
        <v>3.5529991103262553E-3</v>
      </c>
    </row>
    <row r="45" spans="2:7" x14ac:dyDescent="0.2">
      <c r="B45" s="150" t="s">
        <v>313</v>
      </c>
      <c r="C45" s="138" t="s">
        <v>99</v>
      </c>
      <c r="D45" s="138" t="s">
        <v>99</v>
      </c>
      <c r="E45" s="138"/>
      <c r="F45" s="133" t="s">
        <v>314</v>
      </c>
      <c r="G45" s="229">
        <f>K101</f>
        <v>4.1094276902012231E-3</v>
      </c>
    </row>
    <row r="46" spans="2:7" x14ac:dyDescent="0.2">
      <c r="B46" s="150" t="s">
        <v>328</v>
      </c>
      <c r="C46" s="138" t="s">
        <v>99</v>
      </c>
      <c r="D46" s="138"/>
      <c r="E46" s="138" t="s">
        <v>99</v>
      </c>
      <c r="F46" s="133" t="s">
        <v>171</v>
      </c>
      <c r="G46" s="229">
        <f>K76</f>
        <v>6.0469172281910289E-5</v>
      </c>
    </row>
    <row r="47" spans="2:7" x14ac:dyDescent="0.2">
      <c r="B47" s="150" t="s">
        <v>280</v>
      </c>
      <c r="C47" s="138" t="s">
        <v>99</v>
      </c>
      <c r="D47" s="138"/>
      <c r="E47" s="138" t="s">
        <v>99</v>
      </c>
      <c r="F47" s="133" t="s">
        <v>281</v>
      </c>
      <c r="G47" s="229">
        <f>K77</f>
        <v>2.932638792002242E-3</v>
      </c>
    </row>
    <row r="48" spans="2:7" x14ac:dyDescent="0.2">
      <c r="B48" s="150" t="s">
        <v>100</v>
      </c>
      <c r="C48" s="138" t="s">
        <v>99</v>
      </c>
      <c r="D48" s="138" t="s">
        <v>99</v>
      </c>
      <c r="E48" s="138"/>
      <c r="F48" s="133" t="s">
        <v>284</v>
      </c>
      <c r="G48" s="229">
        <f>K79</f>
        <v>1.6092227901894169E-3</v>
      </c>
    </row>
    <row r="49" spans="1:11" x14ac:dyDescent="0.2">
      <c r="B49" s="150"/>
      <c r="C49" s="138"/>
      <c r="D49" s="138"/>
      <c r="E49" s="138"/>
      <c r="F49" s="133" t="s">
        <v>467</v>
      </c>
      <c r="G49" s="229">
        <f>SUM(G18:G21,G23:G28,G33,G35,G37:G38,G41,G44,G46:G47,G50)</f>
        <v>1.9680353101750675E-2</v>
      </c>
    </row>
    <row r="50" spans="1:11" x14ac:dyDescent="0.2">
      <c r="B50" s="150" t="s">
        <v>282</v>
      </c>
      <c r="C50" s="138" t="s">
        <v>99</v>
      </c>
      <c r="D50" s="138"/>
      <c r="E50" s="138" t="s">
        <v>99</v>
      </c>
      <c r="F50" s="133" t="s">
        <v>283</v>
      </c>
      <c r="G50" s="229">
        <f>K78</f>
        <v>6.5140735015781486E-4</v>
      </c>
    </row>
    <row r="51" spans="1:11" x14ac:dyDescent="0.2">
      <c r="B51" s="150" t="s">
        <v>306</v>
      </c>
      <c r="C51" s="138" t="s">
        <v>99</v>
      </c>
      <c r="D51" s="138" t="s">
        <v>99</v>
      </c>
      <c r="E51" s="138"/>
      <c r="F51" s="133" t="s">
        <v>307</v>
      </c>
      <c r="G51" s="229">
        <f>K97</f>
        <v>3.8467369161806402E-4</v>
      </c>
    </row>
    <row r="52" spans="1:11" x14ac:dyDescent="0.2">
      <c r="B52" s="152" t="s">
        <v>308</v>
      </c>
      <c r="C52" s="138" t="s">
        <v>99</v>
      </c>
      <c r="D52" s="138" t="s">
        <v>99</v>
      </c>
      <c r="E52" s="138"/>
      <c r="F52" s="133" t="s">
        <v>309</v>
      </c>
      <c r="G52" s="229">
        <f>K98</f>
        <v>1.2809560423890275E-4</v>
      </c>
    </row>
    <row r="53" spans="1:11" x14ac:dyDescent="0.2">
      <c r="B53" s="150" t="s">
        <v>310</v>
      </c>
      <c r="C53" s="138" t="s">
        <v>99</v>
      </c>
      <c r="D53" s="138" t="s">
        <v>99</v>
      </c>
      <c r="E53" s="138"/>
      <c r="F53" s="133" t="s">
        <v>311</v>
      </c>
      <c r="G53" s="229">
        <f>K99</f>
        <v>6.5158144566342495E-3</v>
      </c>
    </row>
    <row r="54" spans="1:11" ht="13.5" thickBot="1" x14ac:dyDescent="0.25">
      <c r="B54" s="151" t="s">
        <v>312</v>
      </c>
      <c r="C54" s="140" t="s">
        <v>99</v>
      </c>
      <c r="D54" s="140" t="s">
        <v>99</v>
      </c>
      <c r="E54" s="140"/>
      <c r="F54" s="134" t="s">
        <v>327</v>
      </c>
      <c r="G54" s="230">
        <f>K100</f>
        <v>1.6570023345068574E-2</v>
      </c>
    </row>
    <row r="55" spans="1:11" ht="13.5" thickTop="1" x14ac:dyDescent="0.2">
      <c r="B55" s="148"/>
      <c r="C55" s="148"/>
      <c r="D55" s="148"/>
      <c r="E55" s="148"/>
      <c r="F55" s="128"/>
    </row>
    <row r="56" spans="1:11" ht="13.5" thickBot="1" x14ac:dyDescent="0.25"/>
    <row r="57" spans="1:11" ht="13.5" thickTop="1" x14ac:dyDescent="0.2">
      <c r="A57" s="100" t="s">
        <v>249</v>
      </c>
      <c r="B57" s="656" t="s">
        <v>75</v>
      </c>
      <c r="C57" s="655" t="s">
        <v>78</v>
      </c>
      <c r="D57" s="649" t="s">
        <v>79</v>
      </c>
      <c r="E57" s="648" t="s">
        <v>169</v>
      </c>
      <c r="F57" s="656" t="s">
        <v>4</v>
      </c>
      <c r="G57" s="650" t="s">
        <v>244</v>
      </c>
      <c r="H57" s="651"/>
      <c r="I57" s="650" t="s">
        <v>248</v>
      </c>
      <c r="J57" s="653"/>
      <c r="K57" s="654"/>
    </row>
    <row r="58" spans="1:11" x14ac:dyDescent="0.2">
      <c r="A58" s="101" t="s">
        <v>250</v>
      </c>
      <c r="B58" s="629"/>
      <c r="C58" s="618"/>
      <c r="D58" s="621"/>
      <c r="E58" s="624"/>
      <c r="F58" s="629"/>
      <c r="G58" s="634"/>
      <c r="H58" s="652"/>
      <c r="I58" s="634" t="s">
        <v>9</v>
      </c>
      <c r="J58" s="647"/>
      <c r="K58" s="635"/>
    </row>
    <row r="59" spans="1:11" ht="13.5" thickBot="1" x14ac:dyDescent="0.25">
      <c r="A59" s="101"/>
      <c r="B59" s="630"/>
      <c r="C59" s="619"/>
      <c r="D59" s="622"/>
      <c r="E59" s="625"/>
      <c r="F59" s="630"/>
      <c r="G59" s="129" t="s">
        <v>76</v>
      </c>
      <c r="H59" s="130" t="s">
        <v>245</v>
      </c>
      <c r="I59" s="129" t="s">
        <v>246</v>
      </c>
      <c r="J59" s="131" t="s">
        <v>247</v>
      </c>
      <c r="K59" s="132" t="s">
        <v>77</v>
      </c>
    </row>
    <row r="60" spans="1:11" x14ac:dyDescent="0.2">
      <c r="A60" s="101" t="s">
        <v>233</v>
      </c>
      <c r="B60" s="135" t="s">
        <v>83</v>
      </c>
      <c r="C60" s="136" t="s">
        <v>99</v>
      </c>
      <c r="D60" s="136"/>
      <c r="E60" s="136" t="s">
        <v>99</v>
      </c>
      <c r="F60" s="116" t="s">
        <v>101</v>
      </c>
      <c r="G60" s="142">
        <v>2.5999999999999999E-3</v>
      </c>
      <c r="H60" s="142">
        <v>4.7000000000000002E-3</v>
      </c>
      <c r="I60" s="231">
        <f t="shared" ref="I60:I79" si="0">$B$9*G60</f>
        <v>3.5457451309258336E-4</v>
      </c>
      <c r="J60" s="232">
        <f>$B$10*H60</f>
        <v>4.7731184454770847E-4</v>
      </c>
      <c r="K60" s="233">
        <f>SUM(I60:J60)</f>
        <v>8.3188635764029184E-4</v>
      </c>
    </row>
    <row r="61" spans="1:11" x14ac:dyDescent="0.2">
      <c r="A61" s="101"/>
      <c r="B61" s="137" t="s">
        <v>84</v>
      </c>
      <c r="C61" s="138" t="s">
        <v>99</v>
      </c>
      <c r="D61" s="138"/>
      <c r="E61" s="138" t="s">
        <v>99</v>
      </c>
      <c r="F61" s="133" t="s">
        <v>102</v>
      </c>
      <c r="G61" s="143">
        <v>2.7999999999999998E-4</v>
      </c>
      <c r="H61" s="143">
        <v>1.3999999999999999E-4</v>
      </c>
      <c r="I61" s="234">
        <f t="shared" si="0"/>
        <v>3.8184947563816669E-5</v>
      </c>
      <c r="J61" s="235">
        <f>$B$10*H61</f>
        <v>1.4217799624825356E-5</v>
      </c>
      <c r="K61" s="236">
        <f t="shared" ref="K61:K79" si="1">SUM(I61:J61)</f>
        <v>5.2402747188642024E-5</v>
      </c>
    </row>
    <row r="62" spans="1:11" x14ac:dyDescent="0.2">
      <c r="A62" s="101"/>
      <c r="B62" s="137" t="s">
        <v>85</v>
      </c>
      <c r="C62" s="138" t="s">
        <v>99</v>
      </c>
      <c r="D62" s="138"/>
      <c r="E62" s="138" t="s">
        <v>99</v>
      </c>
      <c r="F62" s="133" t="s">
        <v>103</v>
      </c>
      <c r="G62" s="143">
        <v>6.9999999999999999E-4</v>
      </c>
      <c r="H62" s="143">
        <v>1.2999999999999999E-3</v>
      </c>
      <c r="I62" s="234">
        <f t="shared" si="0"/>
        <v>9.5462368909541683E-5</v>
      </c>
      <c r="J62" s="235">
        <f>$B$10*H62</f>
        <v>1.3202242508766402E-4</v>
      </c>
      <c r="K62" s="236">
        <f t="shared" si="1"/>
        <v>2.274847939972057E-4</v>
      </c>
    </row>
    <row r="63" spans="1:11" x14ac:dyDescent="0.2">
      <c r="A63" s="101"/>
      <c r="B63" s="137" t="s">
        <v>86</v>
      </c>
      <c r="C63" s="138" t="s">
        <v>99</v>
      </c>
      <c r="D63" s="138"/>
      <c r="E63" s="138" t="s">
        <v>99</v>
      </c>
      <c r="F63" s="133" t="s">
        <v>104</v>
      </c>
      <c r="G63" s="143">
        <v>1.9000000000000001E-4</v>
      </c>
      <c r="H63" s="143">
        <v>5.5999999999999995E-4</v>
      </c>
      <c r="I63" s="234">
        <f t="shared" si="0"/>
        <v>2.591121441830417E-5</v>
      </c>
      <c r="J63" s="235">
        <f>$B$10*H63</f>
        <v>5.6871198499301426E-5</v>
      </c>
      <c r="K63" s="236">
        <f t="shared" si="1"/>
        <v>8.2782412917605593E-5</v>
      </c>
    </row>
    <row r="64" spans="1:11" x14ac:dyDescent="0.2">
      <c r="A64" s="101"/>
      <c r="B64" s="137" t="s">
        <v>87</v>
      </c>
      <c r="C64" s="138" t="s">
        <v>99</v>
      </c>
      <c r="D64" s="138"/>
      <c r="E64" s="138" t="s">
        <v>99</v>
      </c>
      <c r="F64" s="133" t="s">
        <v>105</v>
      </c>
      <c r="G64" s="143">
        <v>7.6000000000000004E-5</v>
      </c>
      <c r="H64" s="143" t="s">
        <v>80</v>
      </c>
      <c r="I64" s="234">
        <f t="shared" si="0"/>
        <v>1.0364485767321668E-5</v>
      </c>
      <c r="J64" s="234" t="s">
        <v>80</v>
      </c>
      <c r="K64" s="236">
        <f t="shared" si="1"/>
        <v>1.0364485767321668E-5</v>
      </c>
    </row>
    <row r="65" spans="1:21" x14ac:dyDescent="0.2">
      <c r="A65" s="101"/>
      <c r="B65" s="137" t="s">
        <v>88</v>
      </c>
      <c r="C65" s="138" t="s">
        <v>99</v>
      </c>
      <c r="D65" s="138"/>
      <c r="E65" s="138" t="s">
        <v>99</v>
      </c>
      <c r="F65" s="133" t="s">
        <v>106</v>
      </c>
      <c r="G65" s="143">
        <v>2.1999999999999999E-5</v>
      </c>
      <c r="H65" s="143" t="s">
        <v>80</v>
      </c>
      <c r="I65" s="234">
        <f t="shared" si="0"/>
        <v>3.0002458800141671E-6</v>
      </c>
      <c r="J65" s="234" t="s">
        <v>80</v>
      </c>
      <c r="K65" s="236">
        <f t="shared" si="1"/>
        <v>3.0002458800141671E-6</v>
      </c>
    </row>
    <row r="66" spans="1:21" x14ac:dyDescent="0.2">
      <c r="A66" s="101"/>
      <c r="B66" s="137" t="s">
        <v>89</v>
      </c>
      <c r="C66" s="138" t="s">
        <v>99</v>
      </c>
      <c r="D66" s="138"/>
      <c r="E66" s="138" t="s">
        <v>99</v>
      </c>
      <c r="F66" s="133" t="s">
        <v>107</v>
      </c>
      <c r="G66" s="143">
        <v>1.9000000000000001E-5</v>
      </c>
      <c r="H66" s="143" t="s">
        <v>80</v>
      </c>
      <c r="I66" s="234">
        <f t="shared" si="0"/>
        <v>2.5911214418304169E-6</v>
      </c>
      <c r="J66" s="234" t="s">
        <v>80</v>
      </c>
      <c r="K66" s="236">
        <f t="shared" si="1"/>
        <v>2.5911214418304169E-6</v>
      </c>
    </row>
    <row r="67" spans="1:21" x14ac:dyDescent="0.2">
      <c r="A67" s="101"/>
      <c r="B67" s="137" t="s">
        <v>90</v>
      </c>
      <c r="C67" s="138" t="s">
        <v>99</v>
      </c>
      <c r="D67" s="138"/>
      <c r="E67" s="138" t="s">
        <v>99</v>
      </c>
      <c r="F67" s="133" t="s">
        <v>108</v>
      </c>
      <c r="G67" s="143">
        <v>2.3E-5</v>
      </c>
      <c r="H67" s="143" t="s">
        <v>80</v>
      </c>
      <c r="I67" s="234">
        <f t="shared" si="0"/>
        <v>3.1366206927420837E-6</v>
      </c>
      <c r="J67" s="234" t="s">
        <v>80</v>
      </c>
      <c r="K67" s="236">
        <f t="shared" si="1"/>
        <v>3.1366206927420837E-6</v>
      </c>
    </row>
    <row r="68" spans="1:21" x14ac:dyDescent="0.2">
      <c r="A68" s="101"/>
      <c r="B68" s="137" t="s">
        <v>91</v>
      </c>
      <c r="C68" s="138"/>
      <c r="D68" s="138"/>
      <c r="E68" s="138" t="s">
        <v>99</v>
      </c>
      <c r="F68" s="133" t="s">
        <v>109</v>
      </c>
      <c r="G68" s="143">
        <v>7.7999999999999999E-5</v>
      </c>
      <c r="H68" s="143">
        <v>9.5000000000000005E-5</v>
      </c>
      <c r="I68" s="234">
        <f t="shared" si="0"/>
        <v>1.0637235392777502E-5</v>
      </c>
      <c r="J68" s="235">
        <f>$B$10*H68</f>
        <v>9.6477926025600644E-6</v>
      </c>
      <c r="K68" s="236">
        <f t="shared" si="1"/>
        <v>2.0285027995337568E-5</v>
      </c>
    </row>
    <row r="69" spans="1:21" x14ac:dyDescent="0.2">
      <c r="A69" s="101"/>
      <c r="B69" s="137" t="s">
        <v>92</v>
      </c>
      <c r="C69" s="138" t="s">
        <v>99</v>
      </c>
      <c r="D69" s="138"/>
      <c r="E69" s="138" t="s">
        <v>99</v>
      </c>
      <c r="F69" s="133" t="s">
        <v>110</v>
      </c>
      <c r="G69" s="143">
        <v>1.0300000000000001E-3</v>
      </c>
      <c r="H69" s="143">
        <v>2.0999999999999999E-3</v>
      </c>
      <c r="I69" s="234">
        <f t="shared" si="0"/>
        <v>1.4046605710975419E-4</v>
      </c>
      <c r="J69" s="235">
        <f>$B$10*H69</f>
        <v>2.1326699437238035E-4</v>
      </c>
      <c r="K69" s="236">
        <f t="shared" si="1"/>
        <v>3.5373305148213454E-4</v>
      </c>
    </row>
    <row r="70" spans="1:21" x14ac:dyDescent="0.2">
      <c r="A70" s="101"/>
      <c r="B70" s="137" t="s">
        <v>93</v>
      </c>
      <c r="C70" s="138" t="s">
        <v>99</v>
      </c>
      <c r="D70" s="138"/>
      <c r="E70" s="138" t="s">
        <v>99</v>
      </c>
      <c r="F70" s="133" t="s">
        <v>111</v>
      </c>
      <c r="G70" s="143">
        <v>3.7000000000000002E-6</v>
      </c>
      <c r="H70" s="143" t="s">
        <v>80</v>
      </c>
      <c r="I70" s="234">
        <f t="shared" si="0"/>
        <v>5.0458680709329179E-7</v>
      </c>
      <c r="J70" s="234" t="s">
        <v>80</v>
      </c>
      <c r="K70" s="236">
        <f t="shared" si="1"/>
        <v>5.0458680709329179E-7</v>
      </c>
    </row>
    <row r="71" spans="1:21" x14ac:dyDescent="0.2">
      <c r="A71" s="101"/>
      <c r="B71" s="137" t="s">
        <v>94</v>
      </c>
      <c r="C71" s="138" t="s">
        <v>99</v>
      </c>
      <c r="D71" s="138"/>
      <c r="E71" s="138" t="s">
        <v>99</v>
      </c>
      <c r="F71" s="133" t="s">
        <v>112</v>
      </c>
      <c r="G71" s="143">
        <v>5.0000000000000001E-4</v>
      </c>
      <c r="H71" s="143">
        <v>1.5E-3</v>
      </c>
      <c r="I71" s="234">
        <f t="shared" si="0"/>
        <v>6.8187406363958341E-5</v>
      </c>
      <c r="J71" s="235">
        <f>$B$10*H71</f>
        <v>1.5233356740884313E-4</v>
      </c>
      <c r="K71" s="236">
        <f t="shared" si="1"/>
        <v>2.2052097377280147E-4</v>
      </c>
    </row>
    <row r="72" spans="1:21" x14ac:dyDescent="0.2">
      <c r="A72" s="101"/>
      <c r="B72" s="137" t="s">
        <v>95</v>
      </c>
      <c r="C72" s="138" t="s">
        <v>99</v>
      </c>
      <c r="D72" s="138"/>
      <c r="E72" s="138" t="s">
        <v>99</v>
      </c>
      <c r="F72" s="133" t="s">
        <v>113</v>
      </c>
      <c r="G72" s="143">
        <v>7.7000000000000002E-3</v>
      </c>
      <c r="H72" s="143">
        <v>1.01E-2</v>
      </c>
      <c r="I72" s="234">
        <f t="shared" si="0"/>
        <v>1.0500860580049585E-3</v>
      </c>
      <c r="J72" s="235">
        <f>$B$10*H72</f>
        <v>1.0257126872195437E-3</v>
      </c>
      <c r="K72" s="236">
        <f t="shared" si="1"/>
        <v>2.0757987452245021E-3</v>
      </c>
    </row>
    <row r="73" spans="1:21" x14ac:dyDescent="0.2">
      <c r="A73" s="101"/>
      <c r="B73" s="137" t="s">
        <v>96</v>
      </c>
      <c r="C73" s="138" t="s">
        <v>99</v>
      </c>
      <c r="D73" s="138"/>
      <c r="E73" s="138" t="s">
        <v>99</v>
      </c>
      <c r="F73" s="133" t="s">
        <v>114</v>
      </c>
      <c r="G73" s="143">
        <v>4.6999999999999999E-6</v>
      </c>
      <c r="H73" s="143" t="s">
        <v>80</v>
      </c>
      <c r="I73" s="234">
        <f t="shared" si="0"/>
        <v>6.4096161982120838E-7</v>
      </c>
      <c r="J73" s="234" t="s">
        <v>80</v>
      </c>
      <c r="K73" s="236">
        <f t="shared" si="1"/>
        <v>6.4096161982120838E-7</v>
      </c>
    </row>
    <row r="74" spans="1:21" x14ac:dyDescent="0.2">
      <c r="A74" s="101"/>
      <c r="B74" s="137" t="s">
        <v>97</v>
      </c>
      <c r="C74" s="138" t="s">
        <v>99</v>
      </c>
      <c r="D74" s="138"/>
      <c r="E74" s="138" t="s">
        <v>99</v>
      </c>
      <c r="F74" s="133" t="s">
        <v>115</v>
      </c>
      <c r="G74" s="143">
        <v>2.3800000000000002E-2</v>
      </c>
      <c r="H74" s="143">
        <v>5.2699999999999997E-2</v>
      </c>
      <c r="I74" s="234">
        <f t="shared" si="0"/>
        <v>3.2457205429244173E-3</v>
      </c>
      <c r="J74" s="235">
        <f>$B$10*H74</f>
        <v>5.3519860016306882E-3</v>
      </c>
      <c r="K74" s="236">
        <f t="shared" si="1"/>
        <v>8.597706544555106E-3</v>
      </c>
    </row>
    <row r="75" spans="1:21" x14ac:dyDescent="0.2">
      <c r="A75" s="101"/>
      <c r="B75" s="137" t="s">
        <v>98</v>
      </c>
      <c r="C75" s="138" t="s">
        <v>99</v>
      </c>
      <c r="D75" s="138" t="s">
        <v>99</v>
      </c>
      <c r="E75" s="138" t="s">
        <v>99</v>
      </c>
      <c r="F75" s="133" t="s">
        <v>116</v>
      </c>
      <c r="G75" s="143">
        <v>1.2500000000000001E-2</v>
      </c>
      <c r="H75" s="143">
        <v>1.8200000000000001E-2</v>
      </c>
      <c r="I75" s="234">
        <f t="shared" si="0"/>
        <v>1.7046851590989587E-3</v>
      </c>
      <c r="J75" s="235">
        <f>$B$10*H75</f>
        <v>1.8483139512272964E-3</v>
      </c>
      <c r="K75" s="236">
        <f t="shared" si="1"/>
        <v>3.5529991103262553E-3</v>
      </c>
    </row>
    <row r="76" spans="1:21" x14ac:dyDescent="0.2">
      <c r="A76" s="101"/>
      <c r="B76" s="137" t="s">
        <v>170</v>
      </c>
      <c r="C76" s="138"/>
      <c r="D76" s="138"/>
      <c r="E76" s="138" t="s">
        <v>99</v>
      </c>
      <c r="F76" s="133" t="s">
        <v>171</v>
      </c>
      <c r="G76" s="143">
        <v>2.2000000000000001E-4</v>
      </c>
      <c r="H76" s="143">
        <v>2.9999999999999997E-4</v>
      </c>
      <c r="I76" s="234">
        <f t="shared" si="0"/>
        <v>3.0002458800141672E-5</v>
      </c>
      <c r="J76" s="235">
        <f>$B$10*H76</f>
        <v>3.046671348176862E-5</v>
      </c>
      <c r="K76" s="236">
        <f t="shared" si="1"/>
        <v>6.0469172281910289E-5</v>
      </c>
    </row>
    <row r="77" spans="1:21" x14ac:dyDescent="0.2">
      <c r="A77" s="101"/>
      <c r="B77" s="137" t="s">
        <v>82</v>
      </c>
      <c r="C77" s="138" t="s">
        <v>99</v>
      </c>
      <c r="D77" s="138"/>
      <c r="E77" s="138" t="s">
        <v>99</v>
      </c>
      <c r="F77" s="133" t="s">
        <v>117</v>
      </c>
      <c r="G77" s="143">
        <v>8.0999999999999996E-3</v>
      </c>
      <c r="H77" s="143">
        <v>1.7999999999999999E-2</v>
      </c>
      <c r="I77" s="234">
        <f t="shared" si="0"/>
        <v>1.104635983096125E-3</v>
      </c>
      <c r="J77" s="235">
        <f>$B$10*H77</f>
        <v>1.8280028089061172E-3</v>
      </c>
      <c r="K77" s="236">
        <f t="shared" si="1"/>
        <v>2.932638792002242E-3</v>
      </c>
    </row>
    <row r="78" spans="1:21" x14ac:dyDescent="0.2">
      <c r="A78" s="101"/>
      <c r="B78" s="137" t="s">
        <v>81</v>
      </c>
      <c r="C78" s="138" t="s">
        <v>99</v>
      </c>
      <c r="D78" s="138"/>
      <c r="E78" s="138" t="s">
        <v>99</v>
      </c>
      <c r="F78" s="133" t="s">
        <v>118</v>
      </c>
      <c r="G78" s="143">
        <v>1.5E-3</v>
      </c>
      <c r="H78" s="143">
        <v>4.4000000000000003E-3</v>
      </c>
      <c r="I78" s="234">
        <f t="shared" si="0"/>
        <v>2.0456221909187502E-4</v>
      </c>
      <c r="J78" s="235">
        <f>$B$10*H78</f>
        <v>4.4684513106593981E-4</v>
      </c>
      <c r="K78" s="236">
        <f t="shared" si="1"/>
        <v>6.5140735015781486E-4</v>
      </c>
    </row>
    <row r="79" spans="1:21" ht="13.5" thickBot="1" x14ac:dyDescent="0.25">
      <c r="A79" s="102" t="s">
        <v>251</v>
      </c>
      <c r="B79" s="139" t="s">
        <v>100</v>
      </c>
      <c r="C79" s="140" t="s">
        <v>99</v>
      </c>
      <c r="D79" s="140" t="s">
        <v>99</v>
      </c>
      <c r="E79" s="140"/>
      <c r="F79" s="134" t="s">
        <v>119</v>
      </c>
      <c r="G79" s="144">
        <v>1.18E-2</v>
      </c>
      <c r="H79" s="140" t="s">
        <v>80</v>
      </c>
      <c r="I79" s="237">
        <f t="shared" si="0"/>
        <v>1.6092227901894169E-3</v>
      </c>
      <c r="J79" s="238" t="s">
        <v>80</v>
      </c>
      <c r="K79" s="239">
        <f t="shared" si="1"/>
        <v>1.6092227901894169E-3</v>
      </c>
    </row>
    <row r="80" spans="1:21" ht="13.5" thickTop="1" x14ac:dyDescent="0.2">
      <c r="O80" s="65"/>
      <c r="P80" s="65"/>
      <c r="Q80" s="65"/>
      <c r="R80" s="65"/>
      <c r="S80" s="65"/>
      <c r="T80" s="66"/>
      <c r="U80" s="66"/>
    </row>
    <row r="81" spans="1:11" ht="13.5" thickBot="1" x14ac:dyDescent="0.25"/>
    <row r="82" spans="1:11" ht="13.5" thickTop="1" x14ac:dyDescent="0.2">
      <c r="A82" s="100" t="s">
        <v>249</v>
      </c>
      <c r="B82" s="656" t="s">
        <v>75</v>
      </c>
      <c r="C82" s="655" t="s">
        <v>78</v>
      </c>
      <c r="D82" s="649" t="s">
        <v>79</v>
      </c>
      <c r="E82" s="648" t="s">
        <v>169</v>
      </c>
      <c r="F82" s="656" t="s">
        <v>4</v>
      </c>
      <c r="G82" s="650" t="s">
        <v>244</v>
      </c>
      <c r="H82" s="651"/>
      <c r="I82" s="650" t="s">
        <v>248</v>
      </c>
      <c r="J82" s="653"/>
      <c r="K82" s="654"/>
    </row>
    <row r="83" spans="1:11" x14ac:dyDescent="0.2">
      <c r="A83" s="101" t="s">
        <v>250</v>
      </c>
      <c r="B83" s="629"/>
      <c r="C83" s="618"/>
      <c r="D83" s="621"/>
      <c r="E83" s="624"/>
      <c r="F83" s="629"/>
      <c r="G83" s="634"/>
      <c r="H83" s="652"/>
      <c r="I83" s="634" t="s">
        <v>9</v>
      </c>
      <c r="J83" s="647"/>
      <c r="K83" s="635"/>
    </row>
    <row r="84" spans="1:11" ht="13.5" thickBot="1" x14ac:dyDescent="0.25">
      <c r="A84" s="101"/>
      <c r="B84" s="630"/>
      <c r="C84" s="619"/>
      <c r="D84" s="622"/>
      <c r="E84" s="625"/>
      <c r="F84" s="630"/>
      <c r="G84" s="129" t="s">
        <v>76</v>
      </c>
      <c r="H84" s="130" t="s">
        <v>245</v>
      </c>
      <c r="I84" s="129" t="s">
        <v>246</v>
      </c>
      <c r="J84" s="131" t="s">
        <v>247</v>
      </c>
      <c r="K84" s="132" t="s">
        <v>77</v>
      </c>
    </row>
    <row r="85" spans="1:11" x14ac:dyDescent="0.2">
      <c r="A85" s="5"/>
      <c r="B85" s="135" t="s">
        <v>120</v>
      </c>
      <c r="C85" s="136" t="s">
        <v>99</v>
      </c>
      <c r="D85" s="136" t="s">
        <v>99</v>
      </c>
      <c r="E85" s="136" t="s">
        <v>99</v>
      </c>
      <c r="F85" s="116" t="s">
        <v>121</v>
      </c>
      <c r="G85" s="142">
        <v>5.1999999999999995E-4</v>
      </c>
      <c r="H85" s="142">
        <v>3.2000000000000003E-4</v>
      </c>
      <c r="I85" s="231">
        <f t="shared" ref="I85:I101" si="2">$B$11*G85</f>
        <v>8.6506122343155091E-4</v>
      </c>
      <c r="J85" s="232">
        <f t="shared" ref="J85:J90" si="3">$B$12*H85</f>
        <v>1.5598957302665538E-3</v>
      </c>
      <c r="K85" s="233">
        <f t="shared" ref="K85:K101" si="4">SUM(I85:J85)</f>
        <v>2.4249569536981047E-3</v>
      </c>
    </row>
    <row r="86" spans="1:11" x14ac:dyDescent="0.2">
      <c r="A86" s="5"/>
      <c r="B86" s="137" t="s">
        <v>122</v>
      </c>
      <c r="C86" s="138" t="s">
        <v>99</v>
      </c>
      <c r="D86" s="138" t="s">
        <v>99</v>
      </c>
      <c r="E86" s="138"/>
      <c r="F86" s="133" t="s">
        <v>123</v>
      </c>
      <c r="G86" s="143">
        <v>9.6000000000000002E-5</v>
      </c>
      <c r="H86" s="143">
        <v>4.8999999999999998E-5</v>
      </c>
      <c r="I86" s="234">
        <f t="shared" si="2"/>
        <v>1.5970361047967096E-4</v>
      </c>
      <c r="J86" s="235">
        <f t="shared" si="3"/>
        <v>2.3885903369706601E-4</v>
      </c>
      <c r="K86" s="236">
        <f t="shared" si="4"/>
        <v>3.98562644176737E-4</v>
      </c>
    </row>
    <row r="87" spans="1:11" x14ac:dyDescent="0.2">
      <c r="A87" s="5"/>
      <c r="B87" s="137" t="s">
        <v>124</v>
      </c>
      <c r="C87" s="138"/>
      <c r="D87" s="138" t="s">
        <v>99</v>
      </c>
      <c r="E87" s="138"/>
      <c r="F87" s="133" t="s">
        <v>125</v>
      </c>
      <c r="G87" s="143">
        <v>4.8999999999999998E-4</v>
      </c>
      <c r="H87" s="143">
        <v>3.8999999999999999E-4</v>
      </c>
      <c r="I87" s="234">
        <f t="shared" si="2"/>
        <v>8.1515384515665375E-4</v>
      </c>
      <c r="J87" s="235">
        <f t="shared" si="3"/>
        <v>1.9011229212623623E-3</v>
      </c>
      <c r="K87" s="236">
        <f t="shared" si="4"/>
        <v>2.716276766419016E-3</v>
      </c>
    </row>
    <row r="88" spans="1:11" x14ac:dyDescent="0.2">
      <c r="A88" s="5"/>
      <c r="B88" s="137" t="s">
        <v>126</v>
      </c>
      <c r="C88" s="138" t="s">
        <v>99</v>
      </c>
      <c r="D88" s="138" t="s">
        <v>99</v>
      </c>
      <c r="E88" s="138"/>
      <c r="F88" s="133" t="s">
        <v>127</v>
      </c>
      <c r="G88" s="143">
        <v>1.2999999999999999E-4</v>
      </c>
      <c r="H88" s="143">
        <v>1.6000000000000001E-4</v>
      </c>
      <c r="I88" s="234">
        <f t="shared" si="2"/>
        <v>2.1626530585788773E-4</v>
      </c>
      <c r="J88" s="235">
        <f t="shared" si="3"/>
        <v>7.7994786513327688E-4</v>
      </c>
      <c r="K88" s="236">
        <f t="shared" si="4"/>
        <v>9.962131709911645E-4</v>
      </c>
    </row>
    <row r="89" spans="1:11" x14ac:dyDescent="0.2">
      <c r="A89" s="5"/>
      <c r="B89" s="137" t="s">
        <v>128</v>
      </c>
      <c r="C89" s="138" t="s">
        <v>99</v>
      </c>
      <c r="D89" s="138" t="s">
        <v>99</v>
      </c>
      <c r="E89" s="138"/>
      <c r="F89" s="133" t="s">
        <v>129</v>
      </c>
      <c r="G89" s="143">
        <v>2.0999999999999998E-6</v>
      </c>
      <c r="H89" s="143">
        <v>4.0000000000000003E-5</v>
      </c>
      <c r="I89" s="234">
        <f t="shared" si="2"/>
        <v>3.4935164792428018E-6</v>
      </c>
      <c r="J89" s="235">
        <f t="shared" si="3"/>
        <v>1.9498696628331922E-4</v>
      </c>
      <c r="K89" s="236">
        <f t="shared" si="4"/>
        <v>1.9848048276256203E-4</v>
      </c>
    </row>
    <row r="90" spans="1:11" x14ac:dyDescent="0.2">
      <c r="A90" s="5"/>
      <c r="B90" s="137" t="s">
        <v>130</v>
      </c>
      <c r="C90" s="138" t="s">
        <v>99</v>
      </c>
      <c r="D90" s="138" t="s">
        <v>99</v>
      </c>
      <c r="E90" s="138"/>
      <c r="F90" s="133" t="s">
        <v>131</v>
      </c>
      <c r="G90" s="143">
        <v>1.4999999999999999E-4</v>
      </c>
      <c r="H90" s="143">
        <v>2.3000000000000001E-4</v>
      </c>
      <c r="I90" s="234">
        <f t="shared" si="2"/>
        <v>2.4953689137448585E-4</v>
      </c>
      <c r="J90" s="235">
        <f t="shared" si="3"/>
        <v>1.1211750561290854E-3</v>
      </c>
      <c r="K90" s="236">
        <f t="shared" si="4"/>
        <v>1.3707119475035712E-3</v>
      </c>
    </row>
    <row r="91" spans="1:11" x14ac:dyDescent="0.2">
      <c r="A91" s="5"/>
      <c r="B91" s="137" t="s">
        <v>151</v>
      </c>
      <c r="C91" s="138" t="s">
        <v>99</v>
      </c>
      <c r="D91" s="138" t="s">
        <v>99</v>
      </c>
      <c r="E91" s="138"/>
      <c r="F91" s="133" t="s">
        <v>132</v>
      </c>
      <c r="G91" s="143">
        <v>1.1000000000000001E-3</v>
      </c>
      <c r="H91" s="143" t="s">
        <v>80</v>
      </c>
      <c r="I91" s="234">
        <f t="shared" si="2"/>
        <v>1.8299372034128963E-3</v>
      </c>
      <c r="J91" s="234" t="s">
        <v>80</v>
      </c>
      <c r="K91" s="236">
        <f t="shared" si="4"/>
        <v>1.8299372034128963E-3</v>
      </c>
    </row>
    <row r="92" spans="1:11" x14ac:dyDescent="0.2">
      <c r="A92" s="5"/>
      <c r="B92" s="137" t="s">
        <v>133</v>
      </c>
      <c r="C92" s="138" t="s">
        <v>99</v>
      </c>
      <c r="D92" s="138" t="s">
        <v>99</v>
      </c>
      <c r="E92" s="138"/>
      <c r="F92" s="133" t="s">
        <v>134</v>
      </c>
      <c r="G92" s="143">
        <v>2.8E-3</v>
      </c>
      <c r="H92" s="143">
        <v>3.8000000000000002E-4</v>
      </c>
      <c r="I92" s="234">
        <f t="shared" si="2"/>
        <v>4.6580219723237363E-3</v>
      </c>
      <c r="J92" s="235">
        <f t="shared" ref="J92:J97" si="5">$B$12*H92</f>
        <v>1.8523761796915325E-3</v>
      </c>
      <c r="K92" s="236">
        <f t="shared" si="4"/>
        <v>6.510398152015269E-3</v>
      </c>
    </row>
    <row r="93" spans="1:11" x14ac:dyDescent="0.2">
      <c r="A93" s="5"/>
      <c r="B93" s="137" t="s">
        <v>135</v>
      </c>
      <c r="C93" s="138" t="s">
        <v>99</v>
      </c>
      <c r="D93" s="138" t="s">
        <v>99</v>
      </c>
      <c r="E93" s="138" t="s">
        <v>99</v>
      </c>
      <c r="F93" s="133" t="s">
        <v>136</v>
      </c>
      <c r="G93" s="143">
        <v>8.8000000000000003E-4</v>
      </c>
      <c r="H93" s="143">
        <v>6.8999999999999999E-3</v>
      </c>
      <c r="I93" s="234">
        <f t="shared" si="2"/>
        <v>1.463949762730317E-3</v>
      </c>
      <c r="J93" s="235">
        <f t="shared" si="5"/>
        <v>3.3635251683872561E-2</v>
      </c>
      <c r="K93" s="236">
        <f t="shared" si="4"/>
        <v>3.5099201446602876E-2</v>
      </c>
    </row>
    <row r="94" spans="1:11" x14ac:dyDescent="0.2">
      <c r="A94" s="5"/>
      <c r="B94" s="137" t="s">
        <v>152</v>
      </c>
      <c r="C94" s="138" t="s">
        <v>99</v>
      </c>
      <c r="D94" s="138" t="s">
        <v>99</v>
      </c>
      <c r="E94" s="138" t="s">
        <v>99</v>
      </c>
      <c r="F94" s="133" t="s">
        <v>137</v>
      </c>
      <c r="G94" s="143">
        <v>1.5E-3</v>
      </c>
      <c r="H94" s="143">
        <v>1E-3</v>
      </c>
      <c r="I94" s="234">
        <f t="shared" si="2"/>
        <v>2.4953689137448588E-3</v>
      </c>
      <c r="J94" s="235">
        <f t="shared" si="5"/>
        <v>4.8746741570829802E-3</v>
      </c>
      <c r="K94" s="236">
        <f t="shared" si="4"/>
        <v>7.370043070827839E-3</v>
      </c>
    </row>
    <row r="95" spans="1:11" x14ac:dyDescent="0.2">
      <c r="A95" s="5"/>
      <c r="B95" s="137" t="s">
        <v>138</v>
      </c>
      <c r="C95" s="138" t="s">
        <v>99</v>
      </c>
      <c r="D95" s="138" t="s">
        <v>99</v>
      </c>
      <c r="E95" s="138"/>
      <c r="F95" s="133" t="s">
        <v>139</v>
      </c>
      <c r="G95" s="143">
        <v>1.8E-5</v>
      </c>
      <c r="H95" s="143">
        <v>3.1E-6</v>
      </c>
      <c r="I95" s="234">
        <f t="shared" si="2"/>
        <v>2.9944426964938302E-5</v>
      </c>
      <c r="J95" s="235">
        <f t="shared" si="5"/>
        <v>1.5111489886957238E-5</v>
      </c>
      <c r="K95" s="236">
        <f t="shared" si="4"/>
        <v>4.505591685189554E-5</v>
      </c>
    </row>
    <row r="96" spans="1:11" x14ac:dyDescent="0.2">
      <c r="A96" s="5"/>
      <c r="B96" s="137" t="s">
        <v>140</v>
      </c>
      <c r="C96" s="138" t="s">
        <v>99</v>
      </c>
      <c r="D96" s="138" t="s">
        <v>99</v>
      </c>
      <c r="E96" s="138"/>
      <c r="F96" s="133" t="s">
        <v>141</v>
      </c>
      <c r="G96" s="143">
        <v>0</v>
      </c>
      <c r="H96" s="143">
        <v>2.7E-6</v>
      </c>
      <c r="I96" s="234">
        <f t="shared" si="2"/>
        <v>0</v>
      </c>
      <c r="J96" s="235">
        <f t="shared" si="5"/>
        <v>1.3161620224124046E-5</v>
      </c>
      <c r="K96" s="236">
        <f t="shared" si="4"/>
        <v>1.3161620224124046E-5</v>
      </c>
    </row>
    <row r="97" spans="1:11" x14ac:dyDescent="0.2">
      <c r="A97" s="5"/>
      <c r="B97" s="137" t="s">
        <v>142</v>
      </c>
      <c r="C97" s="138" t="s">
        <v>99</v>
      </c>
      <c r="D97" s="138" t="s">
        <v>99</v>
      </c>
      <c r="E97" s="138"/>
      <c r="F97" s="133" t="s">
        <v>143</v>
      </c>
      <c r="G97" s="143">
        <v>7.2999999999999999E-5</v>
      </c>
      <c r="H97" s="143">
        <v>5.3999999999999998E-5</v>
      </c>
      <c r="I97" s="234">
        <f t="shared" si="2"/>
        <v>1.2144128713558311E-4</v>
      </c>
      <c r="J97" s="235">
        <f t="shared" si="5"/>
        <v>2.6323240448248089E-4</v>
      </c>
      <c r="K97" s="236">
        <f t="shared" si="4"/>
        <v>3.8467369161806402E-4</v>
      </c>
    </row>
    <row r="98" spans="1:11" x14ac:dyDescent="0.2">
      <c r="A98" s="5"/>
      <c r="B98" s="137" t="s">
        <v>144</v>
      </c>
      <c r="C98" s="138" t="s">
        <v>99</v>
      </c>
      <c r="D98" s="138" t="s">
        <v>99</v>
      </c>
      <c r="E98" s="138"/>
      <c r="F98" s="133" t="s">
        <v>145</v>
      </c>
      <c r="G98" s="143">
        <v>7.7000000000000001E-5</v>
      </c>
      <c r="H98" s="143" t="s">
        <v>80</v>
      </c>
      <c r="I98" s="234">
        <f t="shared" si="2"/>
        <v>1.2809560423890275E-4</v>
      </c>
      <c r="J98" s="234" t="s">
        <v>80</v>
      </c>
      <c r="K98" s="236">
        <f t="shared" si="4"/>
        <v>1.2809560423890275E-4</v>
      </c>
    </row>
    <row r="99" spans="1:11" x14ac:dyDescent="0.2">
      <c r="A99" s="5"/>
      <c r="B99" s="137" t="s">
        <v>153</v>
      </c>
      <c r="C99" s="138" t="s">
        <v>99</v>
      </c>
      <c r="D99" s="138" t="s">
        <v>99</v>
      </c>
      <c r="E99" s="138" t="s">
        <v>99</v>
      </c>
      <c r="F99" s="133" t="s">
        <v>146</v>
      </c>
      <c r="G99" s="143">
        <v>2.0999999999999999E-3</v>
      </c>
      <c r="H99" s="143">
        <v>6.2E-4</v>
      </c>
      <c r="I99" s="234">
        <f t="shared" si="2"/>
        <v>3.4935164792428016E-3</v>
      </c>
      <c r="J99" s="235">
        <f>$B$12*H99</f>
        <v>3.0222979773914475E-3</v>
      </c>
      <c r="K99" s="236">
        <f t="shared" si="4"/>
        <v>6.5158144566342495E-3</v>
      </c>
    </row>
    <row r="100" spans="1:11" x14ac:dyDescent="0.2">
      <c r="A100" s="5"/>
      <c r="B100" s="137" t="s">
        <v>147</v>
      </c>
      <c r="C100" s="138" t="s">
        <v>99</v>
      </c>
      <c r="D100" s="138" t="s">
        <v>99</v>
      </c>
      <c r="E100" s="138"/>
      <c r="F100" s="133" t="s">
        <v>148</v>
      </c>
      <c r="G100" s="143">
        <v>4.1000000000000003E-3</v>
      </c>
      <c r="H100" s="143">
        <v>2E-3</v>
      </c>
      <c r="I100" s="234">
        <f t="shared" si="2"/>
        <v>6.8206750309026138E-3</v>
      </c>
      <c r="J100" s="235">
        <f>$B$12*H100</f>
        <v>9.7493483141659603E-3</v>
      </c>
      <c r="K100" s="236">
        <f t="shared" si="4"/>
        <v>1.6570023345068574E-2</v>
      </c>
    </row>
    <row r="101" spans="1:11" ht="13.5" thickBot="1" x14ac:dyDescent="0.25">
      <c r="A101" s="6"/>
      <c r="B101" s="141" t="s">
        <v>149</v>
      </c>
      <c r="C101" s="140" t="s">
        <v>99</v>
      </c>
      <c r="D101" s="140" t="s">
        <v>99</v>
      </c>
      <c r="E101" s="140"/>
      <c r="F101" s="134" t="s">
        <v>150</v>
      </c>
      <c r="G101" s="144">
        <v>8.0000000000000004E-4</v>
      </c>
      <c r="H101" s="144">
        <v>5.6999999999999998E-4</v>
      </c>
      <c r="I101" s="237">
        <f t="shared" si="2"/>
        <v>1.3308634206639245E-3</v>
      </c>
      <c r="J101" s="240">
        <f>$B$12*H101</f>
        <v>2.7785642695372986E-3</v>
      </c>
      <c r="K101" s="239">
        <f t="shared" si="4"/>
        <v>4.1094276902012231E-3</v>
      </c>
    </row>
    <row r="102" spans="1:11" ht="13.5" thickTop="1" x14ac:dyDescent="0.2"/>
  </sheetData>
  <mergeCells count="24">
    <mergeCell ref="A1:I1"/>
    <mergeCell ref="A2:I2"/>
    <mergeCell ref="F15:F16"/>
    <mergeCell ref="F82:F84"/>
    <mergeCell ref="F57:F59"/>
    <mergeCell ref="I82:K82"/>
    <mergeCell ref="I83:K83"/>
    <mergeCell ref="A3:I3"/>
    <mergeCell ref="B15:B16"/>
    <mergeCell ref="C15:C16"/>
    <mergeCell ref="D15:D16"/>
    <mergeCell ref="E15:E16"/>
    <mergeCell ref="C57:C59"/>
    <mergeCell ref="B82:B84"/>
    <mergeCell ref="B57:B59"/>
    <mergeCell ref="C82:C84"/>
    <mergeCell ref="D82:D84"/>
    <mergeCell ref="I58:K58"/>
    <mergeCell ref="E82:E84"/>
    <mergeCell ref="D57:D59"/>
    <mergeCell ref="E57:E59"/>
    <mergeCell ref="G57:H58"/>
    <mergeCell ref="I57:K57"/>
    <mergeCell ref="G82:H83"/>
  </mergeCells>
  <phoneticPr fontId="3" type="noConversion"/>
  <pageMargins left="0.75" right="0.75" top="1" bottom="1" header="0.5" footer="0.5"/>
  <pageSetup scale="64" orientation="portrait" r:id="rId1"/>
  <headerFooter alignWithMargins="0">
    <oddHeader>&amp;RLOSL.Tox - &amp;D</oddHeader>
  </headerFooter>
  <rowBreaks count="1" manualBreakCount="1">
    <brk id="55" max="10"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D61ED-99FF-4849-BB99-DBD36842364D}">
  <sheetPr codeName="Sheet4">
    <tabColor indexed="8"/>
  </sheetPr>
  <dimension ref="A1:O23"/>
  <sheetViews>
    <sheetView zoomScaleNormal="100" workbookViewId="0">
      <selection activeCell="A2" sqref="A2:J2"/>
    </sheetView>
  </sheetViews>
  <sheetFormatPr defaultRowHeight="12.75" x14ac:dyDescent="0.2"/>
  <cols>
    <col min="1" max="1" width="15.85546875" bestFit="1" customWidth="1"/>
    <col min="3" max="3" width="14.42578125" customWidth="1"/>
    <col min="4" max="4" width="10.7109375" customWidth="1"/>
    <col min="7" max="7" width="14.5703125" customWidth="1"/>
    <col min="8" max="8" width="10.42578125" customWidth="1"/>
  </cols>
  <sheetData>
    <row r="1" spans="1:15" ht="20.25" x14ac:dyDescent="0.3">
      <c r="A1" s="598" t="s">
        <v>509</v>
      </c>
      <c r="B1" s="598"/>
      <c r="C1" s="598"/>
      <c r="D1" s="598"/>
      <c r="E1" s="598"/>
      <c r="F1" s="598"/>
      <c r="G1" s="598"/>
      <c r="H1" s="598"/>
      <c r="I1" s="598"/>
      <c r="J1" s="598"/>
      <c r="K1" s="466"/>
      <c r="L1" s="466"/>
      <c r="M1" s="466"/>
      <c r="N1" s="466"/>
      <c r="O1" s="466"/>
    </row>
    <row r="2" spans="1:15" x14ac:dyDescent="0.2">
      <c r="A2" s="599">
        <v>40876</v>
      </c>
      <c r="B2" s="599"/>
      <c r="C2" s="599"/>
      <c r="D2" s="599"/>
      <c r="E2" s="599"/>
      <c r="F2" s="599"/>
      <c r="G2" s="599"/>
      <c r="H2" s="599"/>
      <c r="I2" s="599"/>
      <c r="J2" s="599"/>
      <c r="K2" s="467"/>
      <c r="L2" s="467"/>
      <c r="M2" s="467"/>
      <c r="N2" s="467"/>
      <c r="O2" s="467"/>
    </row>
    <row r="3" spans="1:15" ht="38.25" customHeight="1" x14ac:dyDescent="0.2">
      <c r="A3" s="606" t="s">
        <v>522</v>
      </c>
      <c r="B3" s="606"/>
      <c r="C3" s="606"/>
      <c r="D3" s="606"/>
      <c r="E3" s="606"/>
      <c r="F3" s="606"/>
      <c r="G3" s="606"/>
      <c r="H3" s="606"/>
      <c r="I3" s="606"/>
      <c r="J3" s="606"/>
      <c r="K3" s="467"/>
      <c r="L3" s="467"/>
      <c r="M3" s="467"/>
      <c r="N3" s="467"/>
      <c r="O3" s="467"/>
    </row>
    <row r="5" spans="1:15" x14ac:dyDescent="0.2">
      <c r="B5" s="1" t="s">
        <v>234</v>
      </c>
    </row>
    <row r="6" spans="1:15" x14ac:dyDescent="0.2">
      <c r="B6" s="369">
        <f>Inputs!D27/100*Inputs!D16*8760</f>
        <v>35040</v>
      </c>
      <c r="C6" t="s">
        <v>486</v>
      </c>
      <c r="G6" s="146" t="s">
        <v>255</v>
      </c>
    </row>
    <row r="7" spans="1:15" x14ac:dyDescent="0.2">
      <c r="B7" s="369">
        <f>Inputs!D27/100*'Output - Criteria'!D8</f>
        <v>14979.2</v>
      </c>
      <c r="C7" t="s">
        <v>487</v>
      </c>
      <c r="G7" s="146"/>
    </row>
    <row r="8" spans="1:15" x14ac:dyDescent="0.2">
      <c r="B8" s="369">
        <f>Inputs!D28</f>
        <v>25</v>
      </c>
      <c r="C8" t="s">
        <v>488</v>
      </c>
      <c r="G8" s="146"/>
    </row>
    <row r="9" spans="1:15" x14ac:dyDescent="0.2">
      <c r="B9" s="370">
        <f>Inputs!D29</f>
        <v>99</v>
      </c>
      <c r="C9" s="368" t="s">
        <v>392</v>
      </c>
      <c r="G9" s="3" t="s">
        <v>22</v>
      </c>
    </row>
    <row r="11" spans="1:15" ht="13.5" thickBot="1" x14ac:dyDescent="0.25"/>
    <row r="12" spans="1:15" ht="13.5" thickTop="1" x14ac:dyDescent="0.2">
      <c r="B12" s="7" t="s">
        <v>24</v>
      </c>
      <c r="C12" s="604" t="s">
        <v>4</v>
      </c>
      <c r="D12" s="601" t="s">
        <v>16</v>
      </c>
      <c r="E12" s="603"/>
      <c r="F12" s="601" t="s">
        <v>361</v>
      </c>
      <c r="G12" s="602"/>
      <c r="H12" s="63"/>
    </row>
    <row r="13" spans="1:15" ht="13.5" thickBot="1" x14ac:dyDescent="0.25">
      <c r="C13" s="605"/>
      <c r="D13" s="8" t="s">
        <v>9</v>
      </c>
      <c r="E13" s="9" t="s">
        <v>10</v>
      </c>
      <c r="F13" s="8" t="s">
        <v>9</v>
      </c>
      <c r="G13" s="10" t="s">
        <v>10</v>
      </c>
      <c r="H13" s="63"/>
    </row>
    <row r="14" spans="1:15" x14ac:dyDescent="0.2">
      <c r="C14" s="371" t="s">
        <v>1</v>
      </c>
      <c r="D14" s="372">
        <f>D22</f>
        <v>55.000000000000007</v>
      </c>
      <c r="E14" s="373">
        <f>E22</f>
        <v>38.543999999999997</v>
      </c>
      <c r="F14" s="372">
        <f>I22</f>
        <v>0.5500000000000006</v>
      </c>
      <c r="G14" s="18">
        <f>J22</f>
        <v>0.16477120000000017</v>
      </c>
      <c r="H14" s="76"/>
    </row>
    <row r="15" spans="1:15" x14ac:dyDescent="0.2">
      <c r="C15" s="376" t="s">
        <v>2</v>
      </c>
      <c r="D15" s="372">
        <f>D22</f>
        <v>55.000000000000007</v>
      </c>
      <c r="E15" s="373">
        <f>E22</f>
        <v>38.543999999999997</v>
      </c>
      <c r="F15" s="372">
        <f>I22</f>
        <v>0.5500000000000006</v>
      </c>
      <c r="G15" s="18">
        <f>J22</f>
        <v>0.16477120000000017</v>
      </c>
      <c r="H15" s="378" t="s">
        <v>489</v>
      </c>
    </row>
    <row r="16" spans="1:15" ht="13.5" thickBot="1" x14ac:dyDescent="0.25">
      <c r="C16" s="377" t="s">
        <v>412</v>
      </c>
      <c r="D16" s="374">
        <f>D22</f>
        <v>55.000000000000007</v>
      </c>
      <c r="E16" s="375">
        <f>E22</f>
        <v>38.543999999999997</v>
      </c>
      <c r="F16" s="374">
        <f>I22</f>
        <v>0.5500000000000006</v>
      </c>
      <c r="G16" s="21">
        <f>J22</f>
        <v>0.16477120000000017</v>
      </c>
      <c r="H16" s="378" t="s">
        <v>489</v>
      </c>
    </row>
    <row r="17" spans="1:10" ht="13.5" thickTop="1" x14ac:dyDescent="0.2"/>
    <row r="18" spans="1:10" ht="13.5" thickBot="1" x14ac:dyDescent="0.25"/>
    <row r="19" spans="1:10" ht="14.25" thickTop="1" thickBot="1" x14ac:dyDescent="0.25">
      <c r="A19" s="4" t="s">
        <v>234</v>
      </c>
      <c r="B19" s="641" t="s">
        <v>362</v>
      </c>
      <c r="C19" s="638"/>
      <c r="D19" s="638"/>
      <c r="E19" s="639"/>
      <c r="F19" s="641" t="s">
        <v>236</v>
      </c>
      <c r="G19" s="638"/>
      <c r="H19" s="638"/>
      <c r="I19" s="638"/>
      <c r="J19" s="642"/>
    </row>
    <row r="20" spans="1:10" x14ac:dyDescent="0.2">
      <c r="A20" s="5" t="s">
        <v>235</v>
      </c>
      <c r="B20" s="643" t="s">
        <v>4</v>
      </c>
      <c r="C20" s="23" t="s">
        <v>5</v>
      </c>
      <c r="D20" s="632" t="s">
        <v>8</v>
      </c>
      <c r="E20" s="640"/>
      <c r="F20" s="643" t="s">
        <v>4</v>
      </c>
      <c r="G20" s="23" t="s">
        <v>5</v>
      </c>
      <c r="H20" s="77" t="s">
        <v>237</v>
      </c>
      <c r="I20" s="632" t="s">
        <v>8</v>
      </c>
      <c r="J20" s="633"/>
    </row>
    <row r="21" spans="1:10" ht="13.5" thickBot="1" x14ac:dyDescent="0.25">
      <c r="A21" s="5"/>
      <c r="B21" s="644"/>
      <c r="C21" s="24" t="s">
        <v>6</v>
      </c>
      <c r="D21" s="8" t="s">
        <v>9</v>
      </c>
      <c r="E21" s="22" t="s">
        <v>10</v>
      </c>
      <c r="F21" s="644"/>
      <c r="G21" s="24" t="s">
        <v>6</v>
      </c>
      <c r="H21" s="78" t="s">
        <v>238</v>
      </c>
      <c r="I21" s="8" t="s">
        <v>9</v>
      </c>
      <c r="J21" s="10" t="s">
        <v>10</v>
      </c>
    </row>
    <row r="22" spans="1:10" ht="13.5" thickBot="1" x14ac:dyDescent="0.25">
      <c r="A22" s="6"/>
      <c r="B22" s="79" t="s">
        <v>1</v>
      </c>
      <c r="C22" s="127">
        <v>2.2000000000000002</v>
      </c>
      <c r="D22" s="80">
        <f>B8*C22</f>
        <v>55.000000000000007</v>
      </c>
      <c r="E22" s="81">
        <f>B6*C22/2000</f>
        <v>38.543999999999997</v>
      </c>
      <c r="F22" s="82" t="s">
        <v>1</v>
      </c>
      <c r="G22" s="127">
        <v>2.2000000000000002</v>
      </c>
      <c r="H22" s="305">
        <f>B9</f>
        <v>99</v>
      </c>
      <c r="I22" s="80">
        <f>B8*G22*(1-H22/100)</f>
        <v>0.5500000000000006</v>
      </c>
      <c r="J22" s="83">
        <f>B7*G22*(1-H22/100)/2000</f>
        <v>0.16477120000000017</v>
      </c>
    </row>
    <row r="23" spans="1:10" ht="13.5" thickTop="1" x14ac:dyDescent="0.2"/>
  </sheetData>
  <mergeCells count="12">
    <mergeCell ref="B20:B21"/>
    <mergeCell ref="D20:E20"/>
    <mergeCell ref="F20:F21"/>
    <mergeCell ref="I20:J20"/>
    <mergeCell ref="B19:E19"/>
    <mergeCell ref="F19:J19"/>
    <mergeCell ref="A3:J3"/>
    <mergeCell ref="A1:J1"/>
    <mergeCell ref="A2:J2"/>
    <mergeCell ref="C12:C13"/>
    <mergeCell ref="D12:E12"/>
    <mergeCell ref="F12:G12"/>
  </mergeCells>
  <phoneticPr fontId="3" type="noConversion"/>
  <pageMargins left="0.75" right="0.75" top="1" bottom="1" header="0.5" footer="0.5"/>
  <pageSetup scale="80" orientation="portrait" r:id="rId1"/>
  <headerFooter alignWithMargins="0">
    <oddHeader>&amp;RLime Silo - &amp;D</oddHead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Inputs</vt:lpstr>
      <vt:lpstr>Output - Criteria</vt:lpstr>
      <vt:lpstr>Output - Drum.Toxics</vt:lpstr>
      <vt:lpstr>Output - Batch.Toxics</vt:lpstr>
      <vt:lpstr>Aggregates</vt:lpstr>
      <vt:lpstr>Hot Oil Heater</vt:lpstr>
      <vt:lpstr>LOSL.Crit</vt:lpstr>
      <vt:lpstr>LOSL.Tox</vt:lpstr>
      <vt:lpstr>Lime Silo</vt:lpstr>
      <vt:lpstr>Drum - Prod.Crit</vt:lpstr>
      <vt:lpstr>Drum - Prod.Tox</vt:lpstr>
      <vt:lpstr>GHG</vt:lpstr>
      <vt:lpstr>Batch - Prod.Crit</vt:lpstr>
      <vt:lpstr>Batch - Prod.Tox</vt:lpstr>
      <vt:lpstr>Revisions</vt:lpstr>
      <vt:lpstr>'Batch - Prod.Crit'!Print_Area</vt:lpstr>
      <vt:lpstr>'Batch - Prod.Tox'!Print_Area</vt:lpstr>
      <vt:lpstr>'Drum - Prod.Crit'!Print_Area</vt:lpstr>
      <vt:lpstr>'Drum - Prod.Tox'!Print_Area</vt:lpstr>
      <vt:lpstr>GHG!Print_Area</vt:lpstr>
      <vt:lpstr>'Hot Oil Heater'!Print_Area</vt:lpstr>
      <vt:lpstr>Inputs!Print_Area</vt:lpstr>
      <vt:lpstr>'Lime Silo'!Print_Area</vt:lpstr>
      <vt:lpstr>LOSL.Crit!Print_Area</vt:lpstr>
      <vt:lpstr>LOSL.Tox!Print_Area</vt:lpstr>
      <vt:lpstr>'Output - Batch.Toxics'!Print_Area</vt:lpstr>
      <vt:lpstr>'Output - Drum.Toxics'!Print_Area</vt:lpstr>
    </vt:vector>
  </TitlesOfParts>
  <Company>SC 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Nicholas R. Gathings</cp:lastModifiedBy>
  <cp:lastPrinted>2011-05-17T15:06:53Z</cp:lastPrinted>
  <dcterms:created xsi:type="dcterms:W3CDTF">2007-09-11T16:38:45Z</dcterms:created>
  <dcterms:modified xsi:type="dcterms:W3CDTF">2025-10-16T19:18:55Z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1btdb8-mGDGQOA_fPm82g-CeSwGrnnF5ux2d7N95ve2E</vt:lpwstr>
  </property>
  <property fmtid="{D5CDD505-2E9C-101B-9397-08002B2CF9AE}" pid="4" name="Google.Documents.RevisionId">
    <vt:lpwstr>16288174984231455329</vt:lpwstr>
  </property>
  <property fmtid="{D5CDD505-2E9C-101B-9397-08002B2CF9AE}" pid="5" name="Google.Documents.PluginVersion">
    <vt:lpwstr>2.0.2424.7283</vt:lpwstr>
  </property>
  <property fmtid="{D5CDD505-2E9C-101B-9397-08002B2CF9AE}" pid="6" name="Google.Documents.MergeIncapabilityFlags">
    <vt:i4>0</vt:i4>
  </property>
</Properties>
</file>