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GathinNR\Desktop\Updated Website calculators\"/>
    </mc:Choice>
  </mc:AlternateContent>
  <xr:revisionPtr revIDLastSave="0" documentId="8_{17A0F613-D6CE-4290-ADCE-73F400455269}" xr6:coauthVersionLast="47" xr6:coauthVersionMax="47" xr10:uidLastSave="{00000000-0000-0000-0000-000000000000}"/>
  <bookViews>
    <workbookView xWindow="-120" yWindow="-120" windowWidth="29040" windowHeight="15720" activeTab="1" xr2:uid="{596A8984-9CA8-456D-A8B5-C0E8294DDEC9}"/>
  </bookViews>
  <sheets>
    <sheet name="Estimator" sheetId="4" r:id="rId1"/>
    <sheet name="Emission Factors" sheetId="3" r:id="rId2"/>
    <sheet name="Revisions" sheetId="5" r:id="rId3"/>
  </sheets>
  <definedNames>
    <definedName name="_xlnm.Print_Area" localSheetId="1">'Emission Factors'!$A$1:$M$56</definedName>
    <definedName name="_xlnm.Print_Area" localSheetId="0">Estimator!$A$1:$O$68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4" l="1"/>
  <c r="R13" i="4"/>
  <c r="E39" i="3"/>
  <c r="M26" i="3"/>
  <c r="M25" i="3"/>
  <c r="E64" i="4"/>
  <c r="F64" i="4"/>
  <c r="L26" i="3"/>
  <c r="K63" i="4"/>
  <c r="L25" i="3"/>
  <c r="E63" i="4"/>
  <c r="Q63" i="4"/>
  <c r="K26" i="3"/>
  <c r="K62" i="4"/>
  <c r="T62" i="4"/>
  <c r="K25" i="3"/>
  <c r="E62" i="4"/>
  <c r="J26" i="3"/>
  <c r="K61" i="4"/>
  <c r="L61" i="4"/>
  <c r="J25" i="3"/>
  <c r="E61" i="4"/>
  <c r="Q61" i="4"/>
  <c r="I25" i="3"/>
  <c r="I26" i="3"/>
  <c r="K60" i="4"/>
  <c r="T60" i="4"/>
  <c r="H26" i="3"/>
  <c r="K59" i="4"/>
  <c r="T59" i="4"/>
  <c r="H25" i="3"/>
  <c r="E59" i="4"/>
  <c r="Q59" i="4"/>
  <c r="G26" i="3"/>
  <c r="K58" i="4"/>
  <c r="G25" i="3"/>
  <c r="E58" i="4"/>
  <c r="E26" i="3"/>
  <c r="E25" i="3"/>
  <c r="E56" i="4"/>
  <c r="Q56" i="4"/>
  <c r="J17" i="3"/>
  <c r="L49" i="4"/>
  <c r="M49" i="4"/>
  <c r="I17" i="3"/>
  <c r="J49" i="4"/>
  <c r="K49" i="4"/>
  <c r="H17" i="3"/>
  <c r="H49" i="4"/>
  <c r="I49" i="4"/>
  <c r="G17" i="3"/>
  <c r="L31" i="4"/>
  <c r="F17" i="3"/>
  <c r="J31" i="4"/>
  <c r="K31" i="4"/>
  <c r="E17" i="3"/>
  <c r="H31" i="4"/>
  <c r="E36" i="3"/>
  <c r="E9" i="3"/>
  <c r="H23" i="4"/>
  <c r="I23" i="4"/>
  <c r="J23" i="3"/>
  <c r="G61" i="4"/>
  <c r="J24" i="3"/>
  <c r="I61" i="4"/>
  <c r="J61" i="4"/>
  <c r="K23" i="3"/>
  <c r="G62" i="4"/>
  <c r="H62" i="4"/>
  <c r="K24" i="3"/>
  <c r="I62" i="4"/>
  <c r="J62" i="4"/>
  <c r="L24" i="3"/>
  <c r="I63" i="4"/>
  <c r="J63" i="4"/>
  <c r="H63" i="4"/>
  <c r="M24" i="3"/>
  <c r="I64" i="4"/>
  <c r="J64" i="4"/>
  <c r="H64" i="4"/>
  <c r="G24" i="3"/>
  <c r="I58" i="4"/>
  <c r="J58" i="4"/>
  <c r="H58" i="4"/>
  <c r="H23" i="3"/>
  <c r="G59" i="4"/>
  <c r="H59" i="4"/>
  <c r="H24" i="3"/>
  <c r="I59" i="4"/>
  <c r="J59" i="4"/>
  <c r="F25" i="3"/>
  <c r="E57" i="4"/>
  <c r="Q57" i="4"/>
  <c r="R57" i="4"/>
  <c r="F23" i="3"/>
  <c r="G57" i="4"/>
  <c r="H57" i="4"/>
  <c r="F24" i="3"/>
  <c r="I57" i="4"/>
  <c r="J57" i="4"/>
  <c r="E23" i="3"/>
  <c r="G56" i="4"/>
  <c r="E24" i="3"/>
  <c r="I56" i="4"/>
  <c r="J56" i="4"/>
  <c r="I24" i="3"/>
  <c r="I60" i="4"/>
  <c r="J60" i="4"/>
  <c r="H40" i="4"/>
  <c r="I40" i="4"/>
  <c r="F26" i="3"/>
  <c r="K57" i="4"/>
  <c r="L57" i="4"/>
  <c r="H15" i="3"/>
  <c r="H29" i="4"/>
  <c r="I29" i="4"/>
  <c r="E35" i="3"/>
  <c r="E12" i="3"/>
  <c r="H26" i="4"/>
  <c r="I26" i="4"/>
  <c r="H14" i="3"/>
  <c r="H28" i="4"/>
  <c r="I28" i="4"/>
  <c r="G35" i="3"/>
  <c r="G12" i="3"/>
  <c r="L26" i="4"/>
  <c r="M26" i="4"/>
  <c r="G36" i="3"/>
  <c r="G9" i="3"/>
  <c r="L23" i="4"/>
  <c r="M23" i="4"/>
  <c r="G13" i="3"/>
  <c r="L27" i="4"/>
  <c r="M27" i="4"/>
  <c r="J15" i="3"/>
  <c r="L29" i="4"/>
  <c r="M29" i="4"/>
  <c r="G10" i="3"/>
  <c r="L24" i="4"/>
  <c r="M24" i="4"/>
  <c r="I23" i="3"/>
  <c r="G60" i="4"/>
  <c r="H60" i="4"/>
  <c r="I15" i="3"/>
  <c r="J47" i="4"/>
  <c r="K47" i="4"/>
  <c r="J29" i="4"/>
  <c r="K29" i="4"/>
  <c r="F35" i="3"/>
  <c r="F10" i="3"/>
  <c r="J24" i="4"/>
  <c r="K24" i="4"/>
  <c r="F8" i="3"/>
  <c r="J22" i="4"/>
  <c r="F36" i="3"/>
  <c r="F9" i="3"/>
  <c r="J23" i="4"/>
  <c r="K23" i="4"/>
  <c r="I14" i="3"/>
  <c r="J28" i="4"/>
  <c r="K28" i="4"/>
  <c r="L16" i="4"/>
  <c r="L14" i="4"/>
  <c r="L40" i="4"/>
  <c r="M40" i="4"/>
  <c r="L41" i="4"/>
  <c r="M41" i="4"/>
  <c r="L42" i="4"/>
  <c r="M42" i="4"/>
  <c r="L43" i="4"/>
  <c r="M43" i="4"/>
  <c r="L44" i="4"/>
  <c r="M44" i="4"/>
  <c r="L45" i="4"/>
  <c r="M45" i="4"/>
  <c r="L46" i="4"/>
  <c r="M46" i="4"/>
  <c r="L47" i="4"/>
  <c r="M47" i="4"/>
  <c r="L48" i="4"/>
  <c r="M48" i="4"/>
  <c r="J40" i="4"/>
  <c r="K40" i="4"/>
  <c r="J41" i="4"/>
  <c r="K41" i="4"/>
  <c r="J42" i="4"/>
  <c r="K42" i="4"/>
  <c r="J43" i="4"/>
  <c r="K43" i="4"/>
  <c r="J44" i="4"/>
  <c r="K44" i="4"/>
  <c r="J45" i="4"/>
  <c r="K45" i="4"/>
  <c r="J46" i="4"/>
  <c r="K46" i="4"/>
  <c r="J48" i="4"/>
  <c r="K48" i="4"/>
  <c r="H41" i="4"/>
  <c r="I41" i="4"/>
  <c r="H42" i="4"/>
  <c r="I42" i="4"/>
  <c r="H43" i="4"/>
  <c r="I43" i="4"/>
  <c r="H44" i="4"/>
  <c r="I44" i="4"/>
  <c r="H45" i="4"/>
  <c r="I45" i="4"/>
  <c r="H46" i="4"/>
  <c r="I46" i="4"/>
  <c r="H47" i="4"/>
  <c r="I47" i="4"/>
  <c r="J37" i="3"/>
  <c r="J14" i="3"/>
  <c r="L28" i="4"/>
  <c r="M28" i="4"/>
  <c r="J38" i="3"/>
  <c r="J16" i="4"/>
  <c r="K64" i="4"/>
  <c r="L64" i="4"/>
  <c r="F39" i="3"/>
  <c r="F16" i="3"/>
  <c r="J30" i="4"/>
  <c r="K30" i="4"/>
  <c r="M63" i="4"/>
  <c r="O63" i="4"/>
  <c r="M58" i="4"/>
  <c r="O58" i="4"/>
  <c r="M57" i="4"/>
  <c r="O57" i="4"/>
  <c r="T61" i="4"/>
  <c r="U61" i="4"/>
  <c r="M62" i="4"/>
  <c r="O62" i="4"/>
  <c r="M59" i="4"/>
  <c r="O59" i="4"/>
  <c r="Q64" i="4"/>
  <c r="R64" i="4"/>
  <c r="Q58" i="4"/>
  <c r="R58" i="4"/>
  <c r="U62" i="4"/>
  <c r="T64" i="4"/>
  <c r="U64" i="4"/>
  <c r="T58" i="4"/>
  <c r="U58" i="4"/>
  <c r="U59" i="4"/>
  <c r="Q62" i="4"/>
  <c r="R62" i="4"/>
  <c r="T63" i="4"/>
  <c r="U63" i="4"/>
  <c r="T57" i="4"/>
  <c r="U57" i="4"/>
  <c r="U60" i="4"/>
  <c r="R63" i="4"/>
  <c r="R61" i="4"/>
  <c r="M61" i="4"/>
  <c r="M64" i="4"/>
  <c r="O64" i="4"/>
  <c r="F59" i="4"/>
  <c r="R59" i="4"/>
  <c r="R56" i="4"/>
  <c r="F56" i="4"/>
  <c r="L63" i="4"/>
  <c r="F62" i="4"/>
  <c r="L59" i="4"/>
  <c r="F61" i="4"/>
  <c r="F58" i="4"/>
  <c r="K56" i="4"/>
  <c r="E60" i="4"/>
  <c r="L62" i="4"/>
  <c r="L60" i="4"/>
  <c r="F63" i="4"/>
  <c r="M31" i="4"/>
  <c r="L50" i="4"/>
  <c r="M50" i="4"/>
  <c r="J50" i="4"/>
  <c r="K50" i="4"/>
  <c r="G11" i="3"/>
  <c r="L25" i="4"/>
  <c r="M25" i="4"/>
  <c r="E13" i="3"/>
  <c r="H27" i="4"/>
  <c r="I27" i="4"/>
  <c r="E11" i="3"/>
  <c r="H25" i="4"/>
  <c r="I25" i="4"/>
  <c r="F13" i="3"/>
  <c r="J27" i="4"/>
  <c r="K27" i="4"/>
  <c r="G39" i="3"/>
  <c r="G16" i="3"/>
  <c r="L30" i="4"/>
  <c r="M30" i="4"/>
  <c r="F11" i="3"/>
  <c r="J25" i="4"/>
  <c r="K25" i="4"/>
  <c r="G8" i="3"/>
  <c r="L22" i="4"/>
  <c r="M22" i="4"/>
  <c r="K22" i="4"/>
  <c r="I31" i="4"/>
  <c r="H61" i="4"/>
  <c r="F57" i="4"/>
  <c r="F12" i="3"/>
  <c r="J26" i="4"/>
  <c r="K26" i="4"/>
  <c r="E16" i="3"/>
  <c r="E10" i="3"/>
  <c r="H24" i="4"/>
  <c r="I24" i="4"/>
  <c r="L58" i="4"/>
  <c r="H56" i="4"/>
  <c r="E8" i="3"/>
  <c r="H22" i="4"/>
  <c r="I22" i="4"/>
  <c r="O61" i="4"/>
  <c r="Q60" i="4"/>
  <c r="R60" i="4"/>
  <c r="L56" i="4"/>
  <c r="M56" i="4"/>
  <c r="O56" i="4"/>
  <c r="T56" i="4"/>
  <c r="U56" i="4"/>
  <c r="F60" i="4"/>
  <c r="J32" i="4"/>
  <c r="K32" i="4"/>
  <c r="L32" i="4"/>
  <c r="M32" i="4"/>
  <c r="H30" i="4"/>
  <c r="I30" i="4"/>
  <c r="H48" i="4"/>
  <c r="H32" i="4"/>
  <c r="I32" i="4"/>
  <c r="I48" i="4"/>
  <c r="H50" i="4"/>
  <c r="I50" i="4"/>
</calcChain>
</file>

<file path=xl/sharedStrings.xml><?xml version="1.0" encoding="utf-8"?>
<sst xmlns="http://schemas.openxmlformats.org/spreadsheetml/2006/main" count="300" uniqueCount="139">
  <si>
    <t>DO NOT TOUCH</t>
  </si>
  <si>
    <t>Types</t>
  </si>
  <si>
    <t>Drop-Down Output</t>
  </si>
  <si>
    <t>Truck Mix</t>
  </si>
  <si>
    <t>Central Mix</t>
  </si>
  <si>
    <t>Uncontrolled</t>
  </si>
  <si>
    <t>Controlled</t>
  </si>
  <si>
    <t>PM</t>
  </si>
  <si>
    <t>PM10</t>
  </si>
  <si>
    <t>Aggregate delivery to ground storage</t>
  </si>
  <si>
    <t>Sand delivery to ground storage</t>
  </si>
  <si>
    <t>Aggregate delivery to conveyor</t>
  </si>
  <si>
    <t>Sand delivery to conveyor</t>
  </si>
  <si>
    <t>Aggregate delivery to elevated storage</t>
  </si>
  <si>
    <t>Sand delivery to elevated storage</t>
  </si>
  <si>
    <t>Cement delivery to silo</t>
  </si>
  <si>
    <t>Weigh hopper loading</t>
  </si>
  <si>
    <t>Metals</t>
  </si>
  <si>
    <t>Arsenic</t>
  </si>
  <si>
    <t>Beryllium</t>
  </si>
  <si>
    <t>Cadmium</t>
  </si>
  <si>
    <t>Total Chrome</t>
  </si>
  <si>
    <t>Lead</t>
  </si>
  <si>
    <t>Manganese</t>
  </si>
  <si>
    <t>Nickel</t>
  </si>
  <si>
    <t>Total Phosphorus</t>
  </si>
  <si>
    <t>Selenium</t>
  </si>
  <si>
    <t>Cement Silo Filling</t>
  </si>
  <si>
    <t>-</t>
  </si>
  <si>
    <t>Truck Loading</t>
  </si>
  <si>
    <t>Truck or Mixer Loading</t>
  </si>
  <si>
    <t>Totals</t>
  </si>
  <si>
    <t>AP-42 Table 11.12.-2 (6/06), lb/ton of material</t>
  </si>
  <si>
    <t>Aggregate Transfer</t>
  </si>
  <si>
    <t>Sand Transfer</t>
  </si>
  <si>
    <t>Cement Silo Loading</t>
  </si>
  <si>
    <t>Mixer Loading</t>
  </si>
  <si>
    <t>Concrete Composition</t>
  </si>
  <si>
    <t>Aggregate and Sand Parameters</t>
  </si>
  <si>
    <t>Mean Wind Speed:</t>
  </si>
  <si>
    <t>Agg. Moisture Content:</t>
  </si>
  <si>
    <t>Aggregate:</t>
  </si>
  <si>
    <t>Sand:</t>
  </si>
  <si>
    <t>Cement:</t>
  </si>
  <si>
    <t>Cement Supplement:</t>
  </si>
  <si>
    <t>Water:</t>
  </si>
  <si>
    <t>Total Weight:</t>
  </si>
  <si>
    <t>Sand Moisture Content:</t>
  </si>
  <si>
    <t>(MPH)</t>
  </si>
  <si>
    <t>(%)</t>
  </si>
  <si>
    <t>Do you use cement supplement?</t>
  </si>
  <si>
    <t>Type of Plant:</t>
  </si>
  <si>
    <t>Parameters</t>
  </si>
  <si>
    <t>Truck/Mixer Loading</t>
  </si>
  <si>
    <t>Cement Supplement delivery to silo</t>
  </si>
  <si>
    <t>Cement Supplement Silo Filling</t>
  </si>
  <si>
    <t>Truck/Mixer Loading:</t>
  </si>
  <si>
    <t>Uncontrolled Truck/Mixer Loading</t>
  </si>
  <si>
    <t>Controlled Truck/Mixer Loading</t>
  </si>
  <si>
    <t>AP-42 Table 11.12.-8 (6/06), lb/ton of material</t>
  </si>
  <si>
    <t>Controlled?</t>
  </si>
  <si>
    <t>PM2.5</t>
  </si>
  <si>
    <t>PM2.5 is assumed to equal PM10</t>
  </si>
  <si>
    <t>PM2.5 is assumed to equal PM11</t>
  </si>
  <si>
    <t>Concrete Plant Potential to Emit Estimator</t>
  </si>
  <si>
    <t>Revisions</t>
  </si>
  <si>
    <t>Date</t>
  </si>
  <si>
    <t>Author</t>
  </si>
  <si>
    <t>Change(s)</t>
  </si>
  <si>
    <t>Christopher Hardee, P.E.</t>
  </si>
  <si>
    <t>Added standard disclaimer</t>
  </si>
  <si>
    <t>Added title and revision date to every page</t>
  </si>
  <si>
    <t>Adjusted page break layouts</t>
  </si>
  <si>
    <t>Added headers to every page</t>
  </si>
  <si>
    <t>This spreadsheet helps estimate a facility's potential to emit. It is provided for the convenience of the permitted community. DHEC does not guarantee the accuracy or appropriateness of this information. Emission factor sources are subject to revision or correction. It is the permittee's responsibility to verify the accuracy of the information. DHEC is not liable for errors or omissions.</t>
  </si>
  <si>
    <t>Added title</t>
  </si>
  <si>
    <t>Added PM2.5 emissions</t>
  </si>
  <si>
    <t>Added Revision page</t>
  </si>
  <si>
    <t>Clarified that non-de minimis air toxics are only modeled when air modeling is required for other reasons.</t>
  </si>
  <si>
    <t>Corrected code to two fields to display "-" when values don't exist or don't apply.</t>
  </si>
  <si>
    <t>Updated emission factors to match AP-42. AP-42 was revised as some of the emission factors listed did not match with the values calculated and listed in the background document.</t>
  </si>
  <si>
    <t>Per correspondence with EPA, (Ron Myers, dated 6/26/11), the correct lb/hr to lb/yd3 conversation factor is 0.282 instead of the 0.140 currently listed in AP-42.</t>
  </si>
  <si>
    <t>*Based on calculation of ratio of agg/sand content and agg/sand transfer factors. PM10 differs slightly from AP-42</t>
  </si>
  <si>
    <t>Jerisha Dukes</t>
  </si>
  <si>
    <t>Corrected C22 field reference on "Emission Factors" tab from D57 to C57</t>
  </si>
  <si>
    <t>Removed central/truck cells under the Criteria Pollutants table on the "Output" tab</t>
  </si>
  <si>
    <r>
      <t>(lb/yd</t>
    </r>
    <r>
      <rPr>
        <vertAlign val="superscript"/>
        <sz val="10"/>
        <rFont val="Calibri"/>
        <family val="2"/>
      </rPr>
      <t>3</t>
    </r>
    <r>
      <rPr>
        <sz val="10"/>
        <rFont val="Calibri"/>
        <family val="2"/>
      </rPr>
      <t>)</t>
    </r>
  </si>
  <si>
    <r>
      <t>(gal/yd</t>
    </r>
    <r>
      <rPr>
        <vertAlign val="superscript"/>
        <sz val="10"/>
        <rFont val="Calibri"/>
        <family val="2"/>
      </rPr>
      <t>3</t>
    </r>
    <r>
      <rPr>
        <sz val="10"/>
        <rFont val="Calibri"/>
        <family val="2"/>
      </rPr>
      <t>)</t>
    </r>
  </si>
  <si>
    <r>
      <t>(ton/yd</t>
    </r>
    <r>
      <rPr>
        <vertAlign val="superscript"/>
        <sz val="10"/>
        <rFont val="Calibri"/>
        <family val="2"/>
      </rPr>
      <t>3</t>
    </r>
    <r>
      <rPr>
        <sz val="10"/>
        <rFont val="Calibri"/>
        <family val="2"/>
      </rPr>
      <t>)</t>
    </r>
  </si>
  <si>
    <t>lb/hr</t>
  </si>
  <si>
    <t>ton/yr</t>
  </si>
  <si>
    <t>ACTIVITY</t>
  </si>
  <si>
    <t>POLLUTANT</t>
  </si>
  <si>
    <t>Potential to Emit Estimator for Concrete Batching Operations</t>
  </si>
  <si>
    <t>**Inherent Control?</t>
  </si>
  <si>
    <t>Uncontrolled PM Emissions</t>
  </si>
  <si>
    <t>Controlled PM Emissions</t>
  </si>
  <si>
    <t>Metals Emissions</t>
  </si>
  <si>
    <r>
      <t>PM</t>
    </r>
    <r>
      <rPr>
        <vertAlign val="subscript"/>
        <sz val="11"/>
        <rFont val="Calibri"/>
        <family val="2"/>
      </rPr>
      <t>10</t>
    </r>
  </si>
  <si>
    <r>
      <t>PM</t>
    </r>
    <r>
      <rPr>
        <vertAlign val="subscript"/>
        <sz val="11"/>
        <rFont val="Calibri"/>
        <family val="2"/>
      </rPr>
      <t>2.5</t>
    </r>
  </si>
  <si>
    <t>Cement supplement delivery to silo</t>
  </si>
  <si>
    <r>
      <t>lb/yd</t>
    </r>
    <r>
      <rPr>
        <vertAlign val="superscript"/>
        <sz val="10"/>
        <rFont val="Calibri"/>
        <family val="2"/>
      </rPr>
      <t xml:space="preserve">3 </t>
    </r>
  </si>
  <si>
    <t>lb/ton of material loaded</t>
  </si>
  <si>
    <r>
      <t>PM/PM</t>
    </r>
    <r>
      <rPr>
        <vertAlign val="subscript"/>
        <sz val="10"/>
        <rFont val="Calibri"/>
        <family val="2"/>
      </rPr>
      <t>10</t>
    </r>
    <r>
      <rPr>
        <sz val="10"/>
        <rFont val="Calibri"/>
        <family val="2"/>
      </rPr>
      <t xml:space="preserve"> Factors</t>
    </r>
  </si>
  <si>
    <t>RAW EMISSIONS FACTORS</t>
  </si>
  <si>
    <r>
      <t>Note</t>
    </r>
    <r>
      <rPr>
        <b/>
        <sz val="9"/>
        <rFont val="Calibri"/>
        <family val="2"/>
      </rPr>
      <t xml:space="preserve">: AP-42 does not provide controlled emission factors for aggregate/sand transfer and weigh hopper loading. </t>
    </r>
  </si>
  <si>
    <t>Default values are shown.  Submit additional documentation to support the use of different values.</t>
  </si>
  <si>
    <t>lb/day</t>
  </si>
  <si>
    <t>Below?</t>
  </si>
  <si>
    <t>De Minimis Rate</t>
  </si>
  <si>
    <t>Rate</t>
  </si>
  <si>
    <t>**Only mark yes if the Bureau has agreed that your loading control is inherent to your plant's process.</t>
  </si>
  <si>
    <t>** De Minimis Analysis</t>
  </si>
  <si>
    <t>4) De minimis assumes 24 hours per day, rounded to 3 decimal places for comparison.</t>
  </si>
  <si>
    <t xml:space="preserve">Notes: </t>
  </si>
  <si>
    <t>1) Only used if case-by-case modeling is required for another reason. **</t>
  </si>
  <si>
    <r>
      <t>Notes</t>
    </r>
    <r>
      <rPr>
        <b/>
        <sz val="10"/>
        <rFont val="Calibri"/>
        <family val="2"/>
      </rPr>
      <t>: A cement silo is always assumed to be present. Cement/cement supplement delivery to silo is assumed to be controlled.  Cement batcher (weigh hopper) is assumed to be controlled.  Tons per year calculated for 8,760 hours per year.</t>
    </r>
  </si>
  <si>
    <r>
      <t>Plant Max. Rating</t>
    </r>
    <r>
      <rPr>
        <b/>
        <sz val="10"/>
        <rFont val="Calibri"/>
        <family val="2"/>
      </rPr>
      <t>:</t>
    </r>
  </si>
  <si>
    <t>Uses AP-42 13.2.4 (11/06) calculation</t>
  </si>
  <si>
    <t>2) Lead is a criteria pollutant and thus does not have a de minimis value.</t>
  </si>
  <si>
    <t>3) De minimis rate used for Total Chrome is Chrome6 rate and Manganese is Manganese compounds.</t>
  </si>
  <si>
    <t>Central Mix Loading</t>
  </si>
  <si>
    <r>
      <t>(yd</t>
    </r>
    <r>
      <rPr>
        <b/>
        <vertAlign val="superscript"/>
        <sz val="10"/>
        <rFont val="Calibri"/>
        <family val="2"/>
      </rPr>
      <t>3</t>
    </r>
    <r>
      <rPr>
        <b/>
        <sz val="10"/>
        <rFont val="Calibri"/>
        <family val="2"/>
      </rPr>
      <t>/hr)</t>
    </r>
  </si>
  <si>
    <t>Cement Supplement Silo Loading</t>
  </si>
  <si>
    <t>Weigh Hopper Loading*</t>
  </si>
  <si>
    <t>Change the values in red, as applicable, to enter the plant's information.  Pollutant emissions will be displayed below.  This spreadsheet chooses the correct pollutant emission factor depending on the type of plant and controls selected.</t>
  </si>
  <si>
    <t>Directions</t>
  </si>
  <si>
    <t>Redesigned estimator; combined input and output tab under "Estimator" tab</t>
  </si>
  <si>
    <t>May 14, 2015</t>
  </si>
  <si>
    <t>Corrected formulas in cells K57 and K64 of the "Estimator" tab. Included a revision date on the "Emission Factors" tab.</t>
  </si>
  <si>
    <t>Volume Mix</t>
  </si>
  <si>
    <t>Y</t>
  </si>
  <si>
    <t>N</t>
  </si>
  <si>
    <t>NOTE: Volumetric Batch is not mixed at site therefore no emissions produced for Truck/Mixer Loading</t>
  </si>
  <si>
    <t>Process Weight Rate</t>
  </si>
  <si>
    <t>Std. 4 eqn</t>
  </si>
  <si>
    <t>Total Metal Emissions</t>
  </si>
  <si>
    <t>Added "Volume Mix" as plant type along with associated emissions calculations.</t>
  </si>
  <si>
    <t>Anthony Meadows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</si>
</sst>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7" formatCode="0.000000"/>
    <numFmt numFmtId="184" formatCode="[$-409]mmmm\ d\,\ yyyy;@"/>
  </numFmts>
  <fonts count="32" x14ac:knownFonts="1">
    <font>
      <sz val="10"/>
      <name val="Arial"/>
    </font>
    <font>
      <b/>
      <sz val="10"/>
      <name val="Arial"/>
      <family val="2"/>
    </font>
    <font>
      <sz val="8"/>
      <name val="Arial"/>
      <family val="2"/>
    </font>
    <font>
      <sz val="10"/>
      <name val="Arial"/>
      <family val="2"/>
    </font>
    <font>
      <b/>
      <sz val="16"/>
      <name val="Arial"/>
      <family val="2"/>
    </font>
    <font>
      <sz val="10"/>
      <color indexed="10"/>
      <name val="Arial"/>
      <family val="2"/>
    </font>
    <font>
      <sz val="8"/>
      <name val="Arial"/>
      <family val="2"/>
    </font>
    <font>
      <b/>
      <sz val="16"/>
      <name val="Calibri"/>
      <family val="2"/>
    </font>
    <font>
      <i/>
      <sz val="10"/>
      <name val="Calibri"/>
      <family val="2"/>
    </font>
    <font>
      <sz val="10"/>
      <name val="Calibri"/>
      <family val="2"/>
    </font>
    <font>
      <b/>
      <sz val="10"/>
      <name val="Calibri"/>
      <family val="2"/>
    </font>
    <font>
      <sz val="10"/>
      <color indexed="10"/>
      <name val="Calibri"/>
      <family val="2"/>
    </font>
    <font>
      <vertAlign val="superscript"/>
      <sz val="10"/>
      <name val="Calibri"/>
      <family val="2"/>
    </font>
    <font>
      <b/>
      <sz val="8"/>
      <name val="Calibri"/>
      <family val="2"/>
    </font>
    <font>
      <sz val="11"/>
      <name val="Calibri"/>
      <family val="2"/>
    </font>
    <font>
      <b/>
      <i/>
      <sz val="10"/>
      <name val="Calibri"/>
      <family val="2"/>
    </font>
    <font>
      <b/>
      <sz val="11"/>
      <name val="Calibri"/>
      <family val="2"/>
    </font>
    <font>
      <vertAlign val="subscript"/>
      <sz val="11"/>
      <name val="Calibri"/>
      <family val="2"/>
    </font>
    <font>
      <b/>
      <i/>
      <sz val="9"/>
      <name val="Calibri"/>
      <family val="2"/>
    </font>
    <font>
      <b/>
      <sz val="9"/>
      <name val="Calibri"/>
      <family val="2"/>
    </font>
    <font>
      <b/>
      <sz val="10"/>
      <name val="Arial"/>
      <family val="2"/>
    </font>
    <font>
      <vertAlign val="subscript"/>
      <sz val="10"/>
      <name val="Calibri"/>
      <family val="2"/>
    </font>
    <font>
      <b/>
      <sz val="10"/>
      <color indexed="10"/>
      <name val="Calibri"/>
      <family val="2"/>
    </font>
    <font>
      <b/>
      <vertAlign val="superscript"/>
      <sz val="10"/>
      <name val="Calibri"/>
      <family val="2"/>
    </font>
    <font>
      <b/>
      <i/>
      <sz val="12"/>
      <name val="Calibri Light"/>
      <family val="2"/>
    </font>
    <font>
      <b/>
      <sz val="11"/>
      <name val="Calibri Light"/>
      <family val="2"/>
    </font>
    <font>
      <i/>
      <sz val="11"/>
      <name val="Calibri Light"/>
      <family val="2"/>
    </font>
    <font>
      <sz val="11"/>
      <name val="Calibri Light"/>
      <family val="2"/>
    </font>
    <font>
      <sz val="10.5"/>
      <name val="Calibri Light"/>
      <family val="2"/>
    </font>
    <font>
      <sz val="11"/>
      <color theme="1"/>
      <name val="Calibri"/>
      <family val="2"/>
      <scheme val="minor"/>
    </font>
    <font>
      <sz val="11"/>
      <color rgb="FF9C0006"/>
      <name val="Calibri"/>
      <family val="2"/>
      <scheme val="minor"/>
    </font>
    <font>
      <b/>
      <i/>
      <sz val="10"/>
      <name val="Calibri"/>
      <family val="2"/>
      <scheme val="minor"/>
    </font>
  </fonts>
  <fills count="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8"/>
        <bgColor indexed="64"/>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double">
        <color indexed="64"/>
      </top>
      <bottom style="thin">
        <color indexed="64"/>
      </bottom>
      <diagonal/>
    </border>
    <border>
      <left style="double">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right/>
      <top style="thick">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double">
        <color indexed="64"/>
      </left>
      <right/>
      <top/>
      <bottom/>
      <diagonal/>
    </border>
    <border>
      <left style="medium">
        <color indexed="64"/>
      </left>
      <right/>
      <top/>
      <bottom/>
      <diagonal/>
    </border>
    <border>
      <left style="thin">
        <color indexed="64"/>
      </left>
      <right/>
      <top style="thin">
        <color indexed="64"/>
      </top>
      <bottom style="double">
        <color indexed="64"/>
      </bottom>
      <diagonal/>
    </border>
    <border>
      <left/>
      <right/>
      <top style="medium">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double">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medium">
        <color indexed="64"/>
      </top>
      <bottom/>
      <diagonal/>
    </border>
    <border>
      <left/>
      <right style="double">
        <color indexed="64"/>
      </right>
      <top/>
      <bottom style="thin">
        <color indexed="64"/>
      </bottom>
      <diagonal/>
    </border>
    <border>
      <left style="thick">
        <color indexed="64"/>
      </left>
      <right style="thin">
        <color indexed="64"/>
      </right>
      <top style="thin">
        <color indexed="64"/>
      </top>
      <bottom style="thick">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double">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medium">
        <color indexed="8"/>
      </top>
      <bottom style="medium">
        <color indexed="8"/>
      </bottom>
      <diagonal/>
    </border>
    <border>
      <left style="medium">
        <color indexed="64"/>
      </left>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style="medium">
        <color indexed="64"/>
      </top>
      <bottom style="thin">
        <color indexed="64"/>
      </bottom>
      <diagonal/>
    </border>
    <border>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3">
    <xf numFmtId="0" fontId="0" fillId="0" borderId="0"/>
    <xf numFmtId="0" fontId="29" fillId="2" borderId="0" applyNumberFormat="0" applyBorder="0" applyAlignment="0" applyProtection="0"/>
    <xf numFmtId="0" fontId="30" fillId="5" borderId="0" applyNumberFormat="0" applyBorder="0" applyAlignment="0" applyProtection="0"/>
  </cellStyleXfs>
  <cellXfs count="411">
    <xf numFmtId="0" fontId="0" fillId="0" borderId="0" xfId="0"/>
    <xf numFmtId="0" fontId="1" fillId="0" borderId="0" xfId="0" applyFont="1"/>
    <xf numFmtId="0" fontId="0" fillId="0" borderId="0" xfId="0" applyBorder="1"/>
    <xf numFmtId="0" fontId="0" fillId="0" borderId="1" xfId="0" applyBorder="1"/>
    <xf numFmtId="0" fontId="3" fillId="0" borderId="0" xfId="0" applyFont="1"/>
    <xf numFmtId="0" fontId="0" fillId="0" borderId="2" xfId="0"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2" xfId="0" applyFont="1" applyBorder="1"/>
    <xf numFmtId="0" fontId="4" fillId="0" borderId="0" xfId="0" applyFont="1" applyAlignment="1"/>
    <xf numFmtId="0" fontId="0" fillId="0" borderId="0" xfId="0" applyFill="1"/>
    <xf numFmtId="0" fontId="0" fillId="0" borderId="0" xfId="0" applyFill="1" applyBorder="1" applyAlignment="1"/>
    <xf numFmtId="0" fontId="0" fillId="0" borderId="0" xfId="0" applyFill="1" applyBorder="1"/>
    <xf numFmtId="14" fontId="0" fillId="0" borderId="7" xfId="0" applyNumberFormat="1" applyBorder="1" applyAlignment="1">
      <alignment horizontal="left"/>
    </xf>
    <xf numFmtId="0" fontId="0" fillId="0" borderId="7" xfId="0" applyBorder="1" applyAlignment="1">
      <alignment horizontal="left"/>
    </xf>
    <xf numFmtId="0" fontId="9" fillId="0" borderId="0" xfId="0" applyFont="1" applyBorder="1"/>
    <xf numFmtId="0" fontId="9" fillId="0" borderId="0" xfId="0" applyFont="1" applyAlignment="1">
      <alignment horizontal="right"/>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15" fillId="0" borderId="0" xfId="0" applyFont="1" applyBorder="1" applyAlignment="1">
      <alignment horizontal="right"/>
    </xf>
    <xf numFmtId="165" fontId="0" fillId="0" borderId="0" xfId="0" applyNumberFormat="1" applyBorder="1" applyAlignment="1">
      <alignment horizontal="center"/>
    </xf>
    <xf numFmtId="2" fontId="0" fillId="0" borderId="0" xfId="0" applyNumberFormat="1" applyBorder="1" applyAlignment="1">
      <alignment horizontal="center"/>
    </xf>
    <xf numFmtId="0" fontId="10" fillId="0" borderId="0" xfId="0" applyFont="1" applyBorder="1" applyAlignment="1">
      <alignment horizontal="left"/>
    </xf>
    <xf numFmtId="0" fontId="0" fillId="0" borderId="0" xfId="0" applyAlignment="1">
      <alignment horizontal="left"/>
    </xf>
    <xf numFmtId="0" fontId="9" fillId="0" borderId="0" xfId="0" applyFont="1" applyFill="1" applyBorder="1" applyAlignment="1">
      <alignment wrapText="1"/>
    </xf>
    <xf numFmtId="0" fontId="9" fillId="0" borderId="0" xfId="0" applyFont="1" applyBorder="1" applyAlignment="1">
      <alignment horizontal="left" vertical="center" wrapText="1"/>
    </xf>
    <xf numFmtId="0" fontId="18" fillId="0" borderId="0" xfId="0" applyFont="1" applyBorder="1" applyAlignment="1">
      <alignment horizontal="justify" vertical="top"/>
    </xf>
    <xf numFmtId="0" fontId="9" fillId="0" borderId="0" xfId="0" applyFont="1" applyFill="1"/>
    <xf numFmtId="0" fontId="9" fillId="0" borderId="11" xfId="0" applyFont="1" applyFill="1" applyBorder="1"/>
    <xf numFmtId="0" fontId="9" fillId="0" borderId="1" xfId="0" applyFont="1" applyFill="1" applyBorder="1"/>
    <xf numFmtId="0" fontId="9" fillId="0" borderId="12" xfId="0" applyFont="1" applyFill="1" applyBorder="1"/>
    <xf numFmtId="0" fontId="9" fillId="0" borderId="13" xfId="0" applyFont="1" applyFill="1" applyBorder="1" applyAlignment="1">
      <alignment horizontal="center"/>
    </xf>
    <xf numFmtId="0" fontId="9" fillId="0" borderId="12"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right"/>
    </xf>
    <xf numFmtId="0" fontId="9" fillId="0" borderId="1" xfId="0" applyFont="1" applyFill="1" applyBorder="1" applyAlignment="1">
      <alignment horizontal="right"/>
    </xf>
    <xf numFmtId="0" fontId="9" fillId="0" borderId="12" xfId="0" applyFont="1" applyFill="1" applyBorder="1" applyAlignment="1">
      <alignment horizontal="right"/>
    </xf>
    <xf numFmtId="0" fontId="9" fillId="0" borderId="15" xfId="0" applyFont="1" applyFill="1" applyBorder="1" applyAlignment="1">
      <alignment horizontal="center"/>
    </xf>
    <xf numFmtId="0" fontId="9" fillId="0" borderId="1" xfId="0" applyFont="1" applyFill="1" applyBorder="1" applyAlignment="1">
      <alignment horizontal="center"/>
    </xf>
    <xf numFmtId="0" fontId="9" fillId="0" borderId="13" xfId="0" applyFont="1" applyFill="1" applyBorder="1"/>
    <xf numFmtId="0" fontId="9" fillId="0" borderId="14" xfId="0" applyFont="1" applyFill="1" applyBorder="1"/>
    <xf numFmtId="0" fontId="10" fillId="0" borderId="0" xfId="0" applyFont="1" applyFill="1"/>
    <xf numFmtId="0" fontId="9" fillId="0" borderId="0" xfId="0" applyFont="1" applyFill="1" applyBorder="1" applyAlignment="1"/>
    <xf numFmtId="11" fontId="9" fillId="0" borderId="1" xfId="0" applyNumberFormat="1" applyFont="1" applyFill="1" applyBorder="1" applyAlignment="1">
      <alignment horizontal="center"/>
    </xf>
    <xf numFmtId="11" fontId="9" fillId="0" borderId="2" xfId="0" applyNumberFormat="1" applyFont="1" applyFill="1" applyBorder="1" applyAlignment="1">
      <alignment horizontal="center"/>
    </xf>
    <xf numFmtId="0" fontId="9" fillId="0" borderId="16" xfId="0" applyFont="1" applyFill="1" applyBorder="1"/>
    <xf numFmtId="0" fontId="9" fillId="0" borderId="0" xfId="0" applyFont="1" applyFill="1" applyBorder="1"/>
    <xf numFmtId="0" fontId="9" fillId="0" borderId="2" xfId="0" applyFont="1" applyFill="1" applyBorder="1"/>
    <xf numFmtId="0" fontId="9" fillId="0" borderId="17" xfId="0" applyFont="1" applyFill="1" applyBorder="1"/>
    <xf numFmtId="164" fontId="9" fillId="0" borderId="18" xfId="0" applyNumberFormat="1" applyFont="1" applyFill="1" applyBorder="1"/>
    <xf numFmtId="164" fontId="9" fillId="0" borderId="19" xfId="0" applyNumberFormat="1" applyFont="1" applyFill="1" applyBorder="1"/>
    <xf numFmtId="0" fontId="9" fillId="0" borderId="18" xfId="0" applyFont="1" applyFill="1" applyBorder="1"/>
    <xf numFmtId="0" fontId="9" fillId="0" borderId="20" xfId="0" applyFont="1" applyFill="1" applyBorder="1"/>
    <xf numFmtId="11" fontId="9" fillId="0" borderId="0" xfId="0" applyNumberFormat="1" applyFont="1" applyFill="1" applyBorder="1" applyAlignment="1">
      <alignment horizontal="center"/>
    </xf>
    <xf numFmtId="0" fontId="9" fillId="3" borderId="15" xfId="0" applyFont="1" applyFill="1" applyBorder="1"/>
    <xf numFmtId="0" fontId="9" fillId="3" borderId="1" xfId="0" applyFont="1" applyFill="1" applyBorder="1"/>
    <xf numFmtId="0" fontId="9" fillId="3" borderId="12" xfId="0" applyFont="1" applyFill="1" applyBorder="1"/>
    <xf numFmtId="0" fontId="9" fillId="3" borderId="13" xfId="0" applyFont="1" applyFill="1" applyBorder="1" applyAlignment="1">
      <alignment horizontal="center"/>
    </xf>
    <xf numFmtId="0" fontId="9" fillId="3" borderId="12" xfId="0" applyFont="1" applyFill="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right"/>
    </xf>
    <xf numFmtId="0" fontId="9" fillId="3" borderId="1" xfId="0" applyFont="1" applyFill="1" applyBorder="1" applyAlignment="1">
      <alignment horizontal="right"/>
    </xf>
    <xf numFmtId="0" fontId="9" fillId="3" borderId="12" xfId="0" applyFont="1" applyFill="1" applyBorder="1" applyAlignment="1">
      <alignment horizontal="right"/>
    </xf>
    <xf numFmtId="0" fontId="9" fillId="3" borderId="15" xfId="0" applyFont="1" applyFill="1" applyBorder="1" applyAlignment="1">
      <alignment horizontal="center"/>
    </xf>
    <xf numFmtId="0" fontId="9" fillId="3" borderId="1" xfId="0" applyFont="1" applyFill="1" applyBorder="1" applyAlignment="1">
      <alignment horizontal="center"/>
    </xf>
    <xf numFmtId="0" fontId="9" fillId="3" borderId="13" xfId="0" applyFont="1" applyFill="1" applyBorder="1"/>
    <xf numFmtId="0" fontId="9" fillId="3" borderId="14" xfId="0" applyFont="1" applyFill="1" applyBorder="1"/>
    <xf numFmtId="0" fontId="9" fillId="0" borderId="21" xfId="0" applyFont="1" applyFill="1" applyBorder="1" applyAlignment="1"/>
    <xf numFmtId="0" fontId="9" fillId="0" borderId="22" xfId="0" applyFont="1" applyFill="1" applyBorder="1" applyAlignment="1"/>
    <xf numFmtId="0" fontId="9" fillId="0" borderId="23" xfId="0" applyFont="1" applyFill="1" applyBorder="1" applyAlignment="1"/>
    <xf numFmtId="0" fontId="9" fillId="0" borderId="23" xfId="0" applyFont="1" applyFill="1" applyBorder="1" applyAlignment="1">
      <alignment horizontal="right"/>
    </xf>
    <xf numFmtId="0" fontId="10" fillId="0" borderId="0" xfId="0" applyFont="1" applyFill="1" applyBorder="1"/>
    <xf numFmtId="0" fontId="9" fillId="0" borderId="0" xfId="0" applyFont="1" applyFill="1" applyBorder="1" applyAlignment="1">
      <alignment horizontal="right"/>
    </xf>
    <xf numFmtId="0" fontId="9" fillId="0" borderId="24" xfId="0" applyFont="1" applyFill="1" applyBorder="1" applyAlignment="1">
      <alignment horizontal="center"/>
    </xf>
    <xf numFmtId="0" fontId="9" fillId="0" borderId="25" xfId="0" applyFont="1" applyFill="1" applyBorder="1" applyAlignment="1">
      <alignment horizontal="center"/>
    </xf>
    <xf numFmtId="0" fontId="9" fillId="0" borderId="26" xfId="0" applyFont="1" applyFill="1" applyBorder="1" applyAlignment="1">
      <alignment horizontal="center"/>
    </xf>
    <xf numFmtId="0" fontId="9" fillId="0" borderId="27" xfId="0" applyFont="1" applyFill="1" applyBorder="1" applyAlignment="1">
      <alignment horizontal="center"/>
    </xf>
    <xf numFmtId="0" fontId="9" fillId="0" borderId="28" xfId="0" applyFont="1" applyFill="1" applyBorder="1"/>
    <xf numFmtId="0" fontId="9" fillId="0" borderId="29" xfId="0" applyFont="1" applyFill="1" applyBorder="1"/>
    <xf numFmtId="0" fontId="9" fillId="0" borderId="30" xfId="0" applyFont="1" applyFill="1" applyBorder="1"/>
    <xf numFmtId="0" fontId="9" fillId="0" borderId="31" xfId="0" applyFont="1" applyFill="1" applyBorder="1" applyAlignment="1">
      <alignment horizontal="center"/>
    </xf>
    <xf numFmtId="0" fontId="9" fillId="0" borderId="30" xfId="0" applyFont="1" applyFill="1" applyBorder="1" applyAlignment="1">
      <alignment horizontal="center"/>
    </xf>
    <xf numFmtId="0" fontId="9" fillId="0" borderId="32" xfId="0" applyFont="1" applyFill="1" applyBorder="1" applyAlignment="1">
      <alignment horizontal="center"/>
    </xf>
    <xf numFmtId="0" fontId="9" fillId="3" borderId="33" xfId="0" applyFont="1" applyFill="1" applyBorder="1"/>
    <xf numFmtId="11" fontId="9" fillId="3" borderId="1" xfId="0" applyNumberFormat="1" applyFont="1" applyFill="1" applyBorder="1" applyAlignment="1">
      <alignment horizontal="center"/>
    </xf>
    <xf numFmtId="11" fontId="9" fillId="3" borderId="2" xfId="0" applyNumberFormat="1" applyFont="1" applyFill="1" applyBorder="1" applyAlignment="1">
      <alignment horizontal="center"/>
    </xf>
    <xf numFmtId="11" fontId="9" fillId="3" borderId="34" xfId="0" applyNumberFormat="1" applyFont="1" applyFill="1" applyBorder="1" applyAlignment="1">
      <alignment horizontal="center"/>
    </xf>
    <xf numFmtId="11" fontId="9" fillId="3" borderId="20" xfId="0" applyNumberFormat="1" applyFont="1" applyFill="1" applyBorder="1" applyAlignment="1">
      <alignment horizontal="center"/>
    </xf>
    <xf numFmtId="0" fontId="9" fillId="0" borderId="22" xfId="0" applyFont="1" applyFill="1" applyBorder="1" applyAlignment="1">
      <alignment horizontal="right"/>
    </xf>
    <xf numFmtId="0" fontId="9" fillId="0" borderId="21" xfId="0" applyFont="1" applyFill="1" applyBorder="1" applyAlignment="1">
      <alignment horizontal="right"/>
    </xf>
    <xf numFmtId="11" fontId="9" fillId="0" borderId="28" xfId="0" applyNumberFormat="1" applyFont="1" applyFill="1" applyBorder="1" applyAlignment="1">
      <alignment horizontal="center"/>
    </xf>
    <xf numFmtId="11" fontId="9" fillId="0" borderId="29" xfId="0" applyNumberFormat="1" applyFont="1" applyFill="1" applyBorder="1" applyAlignment="1">
      <alignment horizontal="center"/>
    </xf>
    <xf numFmtId="0" fontId="9" fillId="0" borderId="35" xfId="0" applyFont="1" applyFill="1" applyBorder="1" applyAlignment="1">
      <alignment horizontal="center"/>
    </xf>
    <xf numFmtId="11" fontId="9" fillId="3" borderId="33" xfId="0" applyNumberFormat="1" applyFont="1" applyFill="1" applyBorder="1" applyAlignment="1">
      <alignment horizontal="center"/>
    </xf>
    <xf numFmtId="11" fontId="9" fillId="0" borderId="33" xfId="0" applyNumberFormat="1" applyFont="1" applyFill="1" applyBorder="1" applyAlignment="1">
      <alignment horizontal="center"/>
    </xf>
    <xf numFmtId="11" fontId="9" fillId="3" borderId="36" xfId="0" applyNumberFormat="1" applyFont="1" applyFill="1" applyBorder="1" applyAlignment="1">
      <alignment horizontal="center"/>
    </xf>
    <xf numFmtId="0" fontId="9" fillId="3" borderId="2" xfId="0" applyFont="1" applyFill="1" applyBorder="1"/>
    <xf numFmtId="0" fontId="10" fillId="0" borderId="0" xfId="0" applyFont="1" applyFill="1" applyBorder="1" applyAlignment="1">
      <alignment horizontal="center"/>
    </xf>
    <xf numFmtId="0" fontId="9" fillId="0" borderId="37" xfId="0" applyFont="1" applyFill="1" applyBorder="1" applyAlignment="1">
      <alignment horizontal="center"/>
    </xf>
    <xf numFmtId="0" fontId="9" fillId="0" borderId="32" xfId="0" applyFont="1" applyFill="1" applyBorder="1"/>
    <xf numFmtId="0" fontId="9" fillId="0" borderId="31" xfId="0" applyFont="1" applyFill="1" applyBorder="1"/>
    <xf numFmtId="0" fontId="9" fillId="0" borderId="35" xfId="0" applyFont="1" applyFill="1" applyBorder="1"/>
    <xf numFmtId="0" fontId="9" fillId="0" borderId="33" xfId="0" applyFont="1" applyFill="1" applyBorder="1"/>
    <xf numFmtId="167" fontId="9" fillId="0" borderId="33" xfId="0" applyNumberFormat="1" applyFont="1" applyFill="1" applyBorder="1"/>
    <xf numFmtId="0" fontId="9" fillId="0" borderId="36" xfId="0" applyFont="1" applyFill="1" applyBorder="1"/>
    <xf numFmtId="11" fontId="9" fillId="0" borderId="35" xfId="0" applyNumberFormat="1" applyFont="1" applyFill="1" applyBorder="1" applyAlignment="1">
      <alignment horizontal="center"/>
    </xf>
    <xf numFmtId="0" fontId="9" fillId="0" borderId="23" xfId="0" applyFont="1" applyFill="1" applyBorder="1"/>
    <xf numFmtId="0" fontId="9" fillId="0" borderId="16" xfId="0" applyFont="1" applyFill="1" applyBorder="1" applyAlignment="1">
      <alignment horizontal="right"/>
    </xf>
    <xf numFmtId="0" fontId="9" fillId="0" borderId="29" xfId="0" applyFont="1" applyFill="1" applyBorder="1" applyAlignment="1">
      <alignment horizontal="center"/>
    </xf>
    <xf numFmtId="0" fontId="9" fillId="3" borderId="34" xfId="0" applyFont="1" applyFill="1" applyBorder="1" applyAlignment="1">
      <alignment horizontal="center"/>
    </xf>
    <xf numFmtId="0" fontId="9" fillId="3" borderId="20" xfId="0" applyFont="1" applyFill="1" applyBorder="1" applyAlignment="1">
      <alignment horizontal="center"/>
    </xf>
    <xf numFmtId="11" fontId="9" fillId="0" borderId="38" xfId="0" applyNumberFormat="1" applyFont="1" applyFill="1" applyBorder="1" applyAlignment="1">
      <alignment horizontal="center"/>
    </xf>
    <xf numFmtId="0" fontId="9" fillId="0" borderId="39" xfId="0" applyFont="1" applyFill="1" applyBorder="1" applyAlignment="1">
      <alignment horizontal="center"/>
    </xf>
    <xf numFmtId="0" fontId="9" fillId="0" borderId="40" xfId="0" applyFont="1" applyFill="1" applyBorder="1" applyAlignment="1">
      <alignment horizontal="center"/>
    </xf>
    <xf numFmtId="0" fontId="9" fillId="0" borderId="41" xfId="0" applyFont="1" applyFill="1" applyBorder="1" applyAlignment="1">
      <alignment horizontal="center"/>
    </xf>
    <xf numFmtId="0" fontId="5" fillId="0" borderId="0" xfId="0" applyFont="1" applyFill="1" applyAlignment="1">
      <alignment vertical="top" wrapText="1"/>
    </xf>
    <xf numFmtId="0" fontId="4" fillId="0" borderId="0" xfId="0" applyFont="1" applyFill="1" applyAlignment="1"/>
    <xf numFmtId="14" fontId="3" fillId="0" borderId="0" xfId="0" applyNumberFormat="1" applyFont="1" applyFill="1" applyAlignment="1"/>
    <xf numFmtId="0" fontId="8" fillId="0" borderId="0" xfId="0" applyFont="1" applyFill="1" applyAlignment="1">
      <alignment horizontal="justify" vertical="top" wrapText="1"/>
    </xf>
    <xf numFmtId="0" fontId="18" fillId="0" borderId="0" xfId="0" applyFont="1" applyAlignment="1">
      <alignment vertical="justify" wrapText="1"/>
    </xf>
    <xf numFmtId="0" fontId="9" fillId="0" borderId="42" xfId="0" applyFont="1" applyBorder="1" applyAlignment="1">
      <alignment horizontal="left" vertical="center" wrapText="1"/>
    </xf>
    <xf numFmtId="0" fontId="0" fillId="0" borderId="21" xfId="0" applyBorder="1"/>
    <xf numFmtId="0" fontId="0" fillId="0" borderId="43" xfId="0" applyBorder="1"/>
    <xf numFmtId="0" fontId="18" fillId="0" borderId="0" xfId="0" applyFont="1" applyBorder="1" applyAlignment="1">
      <alignment vertical="top"/>
    </xf>
    <xf numFmtId="0" fontId="9" fillId="0" borderId="44" xfId="0" applyFont="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10" fillId="0" borderId="0" xfId="0" applyFont="1" applyBorder="1" applyAlignment="1"/>
    <xf numFmtId="0" fontId="0" fillId="0" borderId="45" xfId="0" applyBorder="1"/>
    <xf numFmtId="0" fontId="13" fillId="0" borderId="45" xfId="0" applyFont="1" applyBorder="1" applyAlignment="1">
      <alignment vertical="center" wrapText="1"/>
    </xf>
    <xf numFmtId="0" fontId="9" fillId="0" borderId="46" xfId="0" applyFont="1" applyBorder="1" applyAlignment="1">
      <alignment horizontal="center"/>
    </xf>
    <xf numFmtId="0" fontId="9" fillId="0" borderId="47" xfId="0" applyFont="1" applyBorder="1" applyAlignment="1">
      <alignment horizontal="center"/>
    </xf>
    <xf numFmtId="0" fontId="10" fillId="0" borderId="0" xfId="0" applyFont="1"/>
    <xf numFmtId="0" fontId="15" fillId="0" borderId="0" xfId="0" applyFont="1" applyBorder="1" applyAlignment="1"/>
    <xf numFmtId="0" fontId="10" fillId="0" borderId="0" xfId="0" applyFont="1" applyBorder="1" applyAlignment="1">
      <alignment vertical="center"/>
    </xf>
    <xf numFmtId="0" fontId="13" fillId="0" borderId="0" xfId="0" applyFont="1" applyBorder="1" applyAlignment="1">
      <alignment vertical="center" wrapText="1"/>
    </xf>
    <xf numFmtId="0" fontId="10" fillId="0" borderId="48" xfId="0" applyFont="1" applyBorder="1" applyAlignment="1">
      <alignment horizontal="left"/>
    </xf>
    <xf numFmtId="0" fontId="10" fillId="0" borderId="45" xfId="0" applyFont="1" applyBorder="1" applyAlignment="1">
      <alignment horizontal="left"/>
    </xf>
    <xf numFmtId="0" fontId="13" fillId="0" borderId="23" xfId="0" applyFont="1" applyBorder="1" applyAlignment="1">
      <alignment vertical="center" wrapText="1"/>
    </xf>
    <xf numFmtId="164" fontId="9" fillId="0" borderId="13" xfId="0" applyNumberFormat="1" applyFont="1" applyBorder="1" applyAlignment="1">
      <alignment horizontal="center" vertical="center"/>
    </xf>
    <xf numFmtId="2" fontId="9" fillId="0" borderId="14" xfId="0" applyNumberFormat="1" applyFont="1" applyBorder="1" applyAlignment="1">
      <alignment horizontal="center" vertical="center"/>
    </xf>
    <xf numFmtId="164" fontId="9" fillId="3" borderId="13" xfId="0" applyNumberFormat="1" applyFont="1" applyFill="1" applyBorder="1" applyAlignment="1">
      <alignment horizontal="center" vertical="center"/>
    </xf>
    <xf numFmtId="2" fontId="9" fillId="3" borderId="14" xfId="0" applyNumberFormat="1" applyFont="1" applyFill="1" applyBorder="1" applyAlignment="1">
      <alignment horizontal="center" vertical="center"/>
    </xf>
    <xf numFmtId="2" fontId="9" fillId="0" borderId="12" xfId="0" applyNumberFormat="1" applyFont="1" applyBorder="1" applyAlignment="1">
      <alignment horizontal="center" vertical="center"/>
    </xf>
    <xf numFmtId="2" fontId="9" fillId="3" borderId="12" xfId="0" applyNumberFormat="1" applyFont="1" applyFill="1" applyBorder="1" applyAlignment="1">
      <alignment horizontal="center" vertical="center"/>
    </xf>
    <xf numFmtId="164" fontId="9" fillId="3" borderId="49" xfId="0" applyNumberFormat="1" applyFont="1" applyFill="1" applyBorder="1" applyAlignment="1">
      <alignment horizontal="center" vertical="center"/>
    </xf>
    <xf numFmtId="2" fontId="9" fillId="3" borderId="50"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2" fontId="9" fillId="0" borderId="52" xfId="0" applyNumberFormat="1" applyFont="1" applyBorder="1" applyAlignment="1">
      <alignment horizontal="center" vertical="center"/>
    </xf>
    <xf numFmtId="2" fontId="9" fillId="0" borderId="53" xfId="0" applyNumberFormat="1" applyFont="1" applyBorder="1" applyAlignment="1">
      <alignment horizontal="center" vertical="center"/>
    </xf>
    <xf numFmtId="164" fontId="9" fillId="0" borderId="24" xfId="0" applyNumberFormat="1" applyFont="1" applyBorder="1" applyAlignment="1">
      <alignment horizontal="center" vertical="center"/>
    </xf>
    <xf numFmtId="2" fontId="9" fillId="0" borderId="27" xfId="0" applyNumberFormat="1" applyFont="1" applyBorder="1" applyAlignment="1">
      <alignment horizontal="center" vertical="center"/>
    </xf>
    <xf numFmtId="164" fontId="9" fillId="0" borderId="31" xfId="0" applyNumberFormat="1" applyFont="1" applyBorder="1" applyAlignment="1">
      <alignment horizontal="center" vertical="center"/>
    </xf>
    <xf numFmtId="2" fontId="9" fillId="0" borderId="32" xfId="0" applyNumberFormat="1" applyFont="1" applyBorder="1" applyAlignment="1">
      <alignment horizontal="center" vertical="center"/>
    </xf>
    <xf numFmtId="164" fontId="9" fillId="3" borderId="24" xfId="0" applyNumberFormat="1" applyFont="1" applyFill="1" applyBorder="1" applyAlignment="1">
      <alignment horizontal="center" vertical="center"/>
    </xf>
    <xf numFmtId="2" fontId="9" fillId="3" borderId="27" xfId="0" applyNumberFormat="1" applyFont="1" applyFill="1" applyBorder="1" applyAlignment="1">
      <alignment horizontal="center" vertical="center"/>
    </xf>
    <xf numFmtId="2" fontId="9" fillId="3" borderId="54" xfId="0" applyNumberFormat="1" applyFont="1" applyFill="1" applyBorder="1" applyAlignment="1">
      <alignment horizontal="center" vertical="center"/>
    </xf>
    <xf numFmtId="2" fontId="9" fillId="0" borderId="55" xfId="0" applyNumberFormat="1" applyFont="1" applyBorder="1" applyAlignment="1">
      <alignment horizontal="center" vertical="center"/>
    </xf>
    <xf numFmtId="11" fontId="9" fillId="0" borderId="32" xfId="0" applyNumberFormat="1" applyFont="1" applyBorder="1" applyAlignment="1">
      <alignment horizontal="center" vertical="center"/>
    </xf>
    <xf numFmtId="11" fontId="9" fillId="0" borderId="31" xfId="0" applyNumberFormat="1" applyFont="1" applyBorder="1" applyAlignment="1">
      <alignment horizontal="center" vertical="center"/>
    </xf>
    <xf numFmtId="11" fontId="9" fillId="0" borderId="30" xfId="0" applyNumberFormat="1" applyFont="1" applyBorder="1" applyAlignment="1">
      <alignment horizontal="center" vertical="center"/>
    </xf>
    <xf numFmtId="11" fontId="9" fillId="0" borderId="56" xfId="0" applyNumberFormat="1" applyFont="1" applyBorder="1" applyAlignment="1">
      <alignment horizontal="center" vertical="center"/>
    </xf>
    <xf numFmtId="0" fontId="9" fillId="0" borderId="32" xfId="0" applyFont="1" applyBorder="1" applyAlignment="1">
      <alignment horizontal="center" vertical="center"/>
    </xf>
    <xf numFmtId="11" fontId="9" fillId="3" borderId="33" xfId="0" applyNumberFormat="1" applyFont="1" applyFill="1" applyBorder="1" applyAlignment="1">
      <alignment horizontal="center" vertical="center"/>
    </xf>
    <xf numFmtId="11" fontId="9" fillId="3" borderId="14" xfId="0" applyNumberFormat="1" applyFont="1" applyFill="1" applyBorder="1" applyAlignment="1">
      <alignment horizontal="center" vertical="center"/>
    </xf>
    <xf numFmtId="11" fontId="9" fillId="3" borderId="13" xfId="0" applyNumberFormat="1" applyFont="1" applyFill="1" applyBorder="1" applyAlignment="1">
      <alignment horizontal="center" vertical="center"/>
    </xf>
    <xf numFmtId="11" fontId="9" fillId="3" borderId="12" xfId="0" applyNumberFormat="1" applyFont="1" applyFill="1" applyBorder="1" applyAlignment="1">
      <alignment horizontal="center" vertical="center"/>
    </xf>
    <xf numFmtId="0" fontId="9" fillId="3" borderId="14" xfId="0" applyFont="1" applyFill="1" applyBorder="1" applyAlignment="1">
      <alignment horizontal="center" vertical="center"/>
    </xf>
    <xf numFmtId="11" fontId="9" fillId="0" borderId="14" xfId="0" applyNumberFormat="1" applyFont="1" applyBorder="1" applyAlignment="1">
      <alignment horizontal="center" vertical="center"/>
    </xf>
    <xf numFmtId="11" fontId="9" fillId="0" borderId="13" xfId="0" applyNumberFormat="1" applyFont="1" applyBorder="1" applyAlignment="1">
      <alignment horizontal="center" vertical="center"/>
    </xf>
    <xf numFmtId="11" fontId="9" fillId="0" borderId="12" xfId="0" applyNumberFormat="1" applyFont="1" applyBorder="1" applyAlignment="1">
      <alignment horizontal="center" vertical="center"/>
    </xf>
    <xf numFmtId="0" fontId="9" fillId="0" borderId="14" xfId="0" applyFont="1" applyBorder="1" applyAlignment="1">
      <alignment horizontal="center" vertical="center"/>
    </xf>
    <xf numFmtId="164" fontId="9" fillId="4" borderId="13" xfId="0" applyNumberFormat="1" applyFont="1" applyFill="1" applyBorder="1" applyAlignment="1">
      <alignment horizontal="center" vertical="center"/>
    </xf>
    <xf numFmtId="0" fontId="9" fillId="4" borderId="14" xfId="0" applyFont="1" applyFill="1" applyBorder="1" applyAlignment="1">
      <alignment horizontal="center" vertical="center"/>
    </xf>
    <xf numFmtId="11" fontId="9" fillId="0" borderId="50" xfId="0" applyNumberFormat="1" applyFont="1" applyBorder="1" applyAlignment="1">
      <alignment horizontal="center" vertical="center"/>
    </xf>
    <xf numFmtId="11" fontId="9" fillId="0" borderId="49" xfId="0" applyNumberFormat="1" applyFont="1" applyBorder="1" applyAlignment="1">
      <alignment horizontal="center" vertical="center"/>
    </xf>
    <xf numFmtId="11" fontId="9" fillId="0" borderId="54" xfId="0" applyNumberFormat="1" applyFont="1" applyBorder="1" applyAlignment="1">
      <alignment horizontal="center" vertical="center"/>
    </xf>
    <xf numFmtId="164" fontId="9" fillId="0" borderId="49" xfId="0" applyNumberFormat="1" applyFont="1" applyBorder="1" applyAlignment="1">
      <alignment horizontal="center" vertical="center"/>
    </xf>
    <xf numFmtId="0" fontId="9" fillId="0" borderId="5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0" fontId="10" fillId="0" borderId="42" xfId="0" applyFont="1" applyBorder="1" applyAlignment="1">
      <alignment vertical="center"/>
    </xf>
    <xf numFmtId="0" fontId="9" fillId="0" borderId="59"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vertical="center"/>
    </xf>
    <xf numFmtId="0" fontId="11" fillId="0" borderId="60" xfId="0" applyFont="1" applyBorder="1" applyAlignment="1" applyProtection="1">
      <alignment horizontal="center" vertical="center"/>
      <protection locked="0"/>
    </xf>
    <xf numFmtId="3" fontId="11" fillId="0" borderId="0" xfId="0" applyNumberFormat="1"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23" xfId="0" applyFont="1" applyBorder="1" applyAlignment="1" applyProtection="1">
      <alignment vertical="center"/>
      <protection locked="0"/>
    </xf>
    <xf numFmtId="0" fontId="10" fillId="0" borderId="61" xfId="0" applyFont="1" applyBorder="1" applyAlignment="1" applyProtection="1">
      <alignment horizontal="left"/>
      <protection locked="0"/>
    </xf>
    <xf numFmtId="0" fontId="11" fillId="0" borderId="62" xfId="0" applyFont="1" applyBorder="1" applyAlignment="1" applyProtection="1">
      <alignment horizontal="center" vertical="center"/>
      <protection locked="0"/>
    </xf>
    <xf numFmtId="0" fontId="0" fillId="0" borderId="61" xfId="0" applyBorder="1"/>
    <xf numFmtId="0" fontId="8" fillId="0" borderId="0" xfId="0" applyFont="1" applyFill="1" applyAlignment="1">
      <alignment horizontal="center" vertical="center" wrapText="1"/>
    </xf>
    <xf numFmtId="0" fontId="24" fillId="0" borderId="0" xfId="0" applyFont="1" applyAlignment="1">
      <alignment vertical="center" wrapText="1"/>
    </xf>
    <xf numFmtId="0" fontId="24" fillId="0" borderId="21" xfId="0" applyFont="1" applyBorder="1" applyAlignment="1">
      <alignment vertical="center" wrapText="1"/>
    </xf>
    <xf numFmtId="0" fontId="26" fillId="0" borderId="0" xfId="0" applyFont="1" applyBorder="1" applyAlignment="1">
      <alignment horizontal="left" vertical="top" wrapText="1"/>
    </xf>
    <xf numFmtId="0" fontId="26" fillId="0" borderId="21" xfId="0" applyFont="1" applyBorder="1" applyAlignment="1">
      <alignment horizontal="left" vertical="top" wrapText="1"/>
    </xf>
    <xf numFmtId="0" fontId="27" fillId="0" borderId="0" xfId="0" applyFont="1" applyBorder="1" applyAlignment="1">
      <alignment horizontal="left" vertical="top" wrapText="1"/>
    </xf>
    <xf numFmtId="0" fontId="27" fillId="0" borderId="21" xfId="0" applyFont="1" applyBorder="1" applyAlignment="1">
      <alignment horizontal="left" vertical="top" wrapText="1"/>
    </xf>
    <xf numFmtId="0" fontId="3" fillId="0" borderId="34" xfId="0" applyFont="1" applyBorder="1"/>
    <xf numFmtId="14" fontId="0" fillId="0" borderId="63" xfId="0" applyNumberFormat="1" applyBorder="1" applyAlignment="1">
      <alignment horizontal="left"/>
    </xf>
    <xf numFmtId="0" fontId="1" fillId="0" borderId="48" xfId="0" applyFont="1" applyBorder="1"/>
    <xf numFmtId="0" fontId="0" fillId="0" borderId="64" xfId="0" applyBorder="1"/>
    <xf numFmtId="0" fontId="0" fillId="0" borderId="65" xfId="0" applyBorder="1"/>
    <xf numFmtId="0" fontId="0" fillId="0" borderId="23" xfId="0" applyBorder="1"/>
    <xf numFmtId="0" fontId="0" fillId="0" borderId="22" xfId="0" applyBorder="1"/>
    <xf numFmtId="11" fontId="30" fillId="5" borderId="33" xfId="2" applyNumberFormat="1" applyBorder="1" applyAlignment="1">
      <alignment horizontal="center"/>
    </xf>
    <xf numFmtId="11" fontId="30" fillId="5" borderId="1" xfId="2" applyNumberFormat="1" applyBorder="1" applyAlignment="1">
      <alignment horizontal="center"/>
    </xf>
    <xf numFmtId="11" fontId="30" fillId="5" borderId="2" xfId="2" applyNumberFormat="1" applyBorder="1" applyAlignment="1">
      <alignment horizontal="center"/>
    </xf>
    <xf numFmtId="11" fontId="30" fillId="5" borderId="36" xfId="2" applyNumberFormat="1" applyBorder="1" applyAlignment="1">
      <alignment horizontal="center"/>
    </xf>
    <xf numFmtId="11" fontId="30" fillId="5" borderId="34" xfId="2" applyNumberFormat="1" applyBorder="1" applyAlignment="1">
      <alignment horizontal="center"/>
    </xf>
    <xf numFmtId="11" fontId="30" fillId="5" borderId="20" xfId="2" applyNumberFormat="1" applyBorder="1" applyAlignment="1">
      <alignment horizontal="center"/>
    </xf>
    <xf numFmtId="0" fontId="30" fillId="5" borderId="66" xfId="2" applyBorder="1" applyAlignment="1">
      <alignment horizontal="center"/>
    </xf>
    <xf numFmtId="0" fontId="30" fillId="5" borderId="67" xfId="2" applyBorder="1" applyAlignment="1">
      <alignment horizontal="center"/>
    </xf>
    <xf numFmtId="0" fontId="30" fillId="5" borderId="54" xfId="2" applyBorder="1" applyAlignment="1">
      <alignment horizontal="center"/>
    </xf>
    <xf numFmtId="0" fontId="30" fillId="5" borderId="49" xfId="2" applyBorder="1" applyAlignment="1">
      <alignment horizontal="center"/>
    </xf>
    <xf numFmtId="0" fontId="30" fillId="5" borderId="50" xfId="2" applyBorder="1" applyAlignment="1">
      <alignment horizontal="center"/>
    </xf>
    <xf numFmtId="164" fontId="30" fillId="5" borderId="51" xfId="2" applyNumberFormat="1" applyBorder="1" applyAlignment="1">
      <alignment horizontal="center" vertical="center"/>
    </xf>
    <xf numFmtId="11" fontId="30" fillId="5" borderId="28" xfId="2" applyNumberFormat="1" applyBorder="1" applyAlignment="1">
      <alignment horizontal="center" vertical="center"/>
    </xf>
    <xf numFmtId="11" fontId="30" fillId="5" borderId="33" xfId="2" applyNumberFormat="1" applyBorder="1" applyAlignment="1">
      <alignment horizontal="center" vertical="center"/>
    </xf>
    <xf numFmtId="11" fontId="30" fillId="5" borderId="68" xfId="2" applyNumberFormat="1" applyBorder="1" applyAlignment="1">
      <alignment horizontal="center" vertical="center"/>
    </xf>
    <xf numFmtId="11" fontId="30" fillId="5" borderId="31" xfId="2" applyNumberFormat="1" applyBorder="1" applyAlignment="1">
      <alignment horizontal="center" vertical="center"/>
    </xf>
    <xf numFmtId="11" fontId="30" fillId="5" borderId="13" xfId="2" applyNumberFormat="1" applyBorder="1" applyAlignment="1">
      <alignment horizontal="center" vertical="center"/>
    </xf>
    <xf numFmtId="11" fontId="30" fillId="5" borderId="49" xfId="2" applyNumberFormat="1" applyBorder="1" applyAlignment="1">
      <alignment horizontal="center" vertical="center"/>
    </xf>
    <xf numFmtId="0" fontId="3" fillId="6" borderId="69" xfId="0" applyFont="1" applyFill="1" applyBorder="1"/>
    <xf numFmtId="2" fontId="0" fillId="6" borderId="70" xfId="0" applyNumberFormat="1" applyFill="1" applyBorder="1"/>
    <xf numFmtId="0" fontId="3" fillId="6" borderId="49" xfId="0" applyFont="1" applyFill="1" applyBorder="1"/>
    <xf numFmtId="2" fontId="3" fillId="6" borderId="50" xfId="0" applyNumberFormat="1" applyFont="1" applyFill="1" applyBorder="1"/>
    <xf numFmtId="0" fontId="0" fillId="7" borderId="71" xfId="0" applyFill="1" applyBorder="1"/>
    <xf numFmtId="0" fontId="0" fillId="7" borderId="1" xfId="0" applyFill="1" applyBorder="1"/>
    <xf numFmtId="11" fontId="0" fillId="6" borderId="13" xfId="0" applyNumberFormat="1" applyFill="1" applyBorder="1" applyAlignment="1">
      <alignment horizontal="center" vertical="center"/>
    </xf>
    <xf numFmtId="11" fontId="0" fillId="6" borderId="1" xfId="0" applyNumberFormat="1" applyFill="1" applyBorder="1" applyAlignment="1">
      <alignment horizontal="center" vertical="center"/>
    </xf>
    <xf numFmtId="0" fontId="0" fillId="6" borderId="1" xfId="0" applyFill="1" applyBorder="1" applyAlignment="1">
      <alignment horizontal="center" vertical="center"/>
    </xf>
    <xf numFmtId="11" fontId="0" fillId="6" borderId="14" xfId="0" applyNumberFormat="1" applyFill="1" applyBorder="1" applyAlignment="1">
      <alignment horizontal="center" vertical="center"/>
    </xf>
    <xf numFmtId="11" fontId="29" fillId="6" borderId="1" xfId="1" applyNumberFormat="1" applyFill="1" applyBorder="1" applyAlignment="1">
      <alignment horizontal="center" vertical="center"/>
    </xf>
    <xf numFmtId="11" fontId="29" fillId="6" borderId="14" xfId="1" applyNumberFormat="1" applyFill="1" applyBorder="1" applyAlignment="1">
      <alignment horizontal="center" vertical="center"/>
    </xf>
    <xf numFmtId="11" fontId="0" fillId="6" borderId="67" xfId="0" applyNumberFormat="1" applyFill="1" applyBorder="1" applyAlignment="1">
      <alignment horizontal="center" vertical="center"/>
    </xf>
    <xf numFmtId="0" fontId="0" fillId="6" borderId="67" xfId="0" applyFill="1" applyBorder="1" applyAlignment="1">
      <alignment horizontal="center" vertical="center"/>
    </xf>
    <xf numFmtId="11" fontId="0" fillId="6" borderId="50" xfId="0" applyNumberFormat="1" applyFill="1" applyBorder="1" applyAlignment="1">
      <alignment horizontal="center" vertical="center"/>
    </xf>
    <xf numFmtId="11" fontId="0" fillId="0" borderId="0" xfId="0" applyNumberFormat="1"/>
    <xf numFmtId="11" fontId="9" fillId="4" borderId="72" xfId="0" applyNumberFormat="1" applyFont="1" applyFill="1" applyBorder="1" applyAlignment="1">
      <alignment horizontal="center" vertical="center"/>
    </xf>
    <xf numFmtId="11" fontId="30" fillId="5" borderId="73" xfId="2" applyNumberFormat="1" applyBorder="1" applyAlignment="1">
      <alignment horizontal="center" vertical="center"/>
    </xf>
    <xf numFmtId="11" fontId="30" fillId="5" borderId="72" xfId="2" applyNumberFormat="1" applyBorder="1" applyAlignment="1">
      <alignment horizontal="center" vertical="center"/>
    </xf>
    <xf numFmtId="11" fontId="30" fillId="5" borderId="74" xfId="2" applyNumberFormat="1" applyBorder="1" applyAlignment="1">
      <alignment horizontal="center" vertical="center"/>
    </xf>
    <xf numFmtId="164" fontId="0" fillId="0" borderId="0" xfId="0" applyNumberFormat="1"/>
    <xf numFmtId="14" fontId="0" fillId="0" borderId="120" xfId="0" applyNumberFormat="1" applyBorder="1"/>
    <xf numFmtId="0" fontId="3" fillId="0" borderId="120" xfId="0" applyFont="1" applyBorder="1"/>
    <xf numFmtId="0" fontId="3" fillId="0" borderId="121" xfId="0" applyFont="1" applyBorder="1"/>
    <xf numFmtId="0" fontId="3" fillId="0" borderId="1" xfId="0" applyFont="1" applyBorder="1"/>
    <xf numFmtId="0" fontId="9" fillId="0" borderId="96" xfId="0" applyFont="1" applyBorder="1" applyAlignment="1">
      <alignment horizontal="center" vertical="center"/>
    </xf>
    <xf numFmtId="0" fontId="9" fillId="0" borderId="88" xfId="0" applyFont="1" applyBorder="1" applyAlignment="1">
      <alignment horizontal="center" vertical="center"/>
    </xf>
    <xf numFmtId="0" fontId="7" fillId="0" borderId="0" xfId="0" applyFont="1" applyAlignment="1">
      <alignment horizontal="center"/>
    </xf>
    <xf numFmtId="0" fontId="10" fillId="0" borderId="43" xfId="0" applyFont="1" applyBorder="1" applyAlignment="1">
      <alignment horizontal="right" wrapText="1"/>
    </xf>
    <xf numFmtId="0" fontId="10" fillId="0" borderId="0" xfId="0" applyFont="1" applyBorder="1" applyAlignment="1">
      <alignment horizontal="right" wrapText="1"/>
    </xf>
    <xf numFmtId="0" fontId="10" fillId="0" borderId="65" xfId="0" applyFont="1" applyBorder="1" applyAlignment="1">
      <alignment horizontal="right" wrapText="1"/>
    </xf>
    <xf numFmtId="0" fontId="10" fillId="0" borderId="23" xfId="0" applyFont="1" applyBorder="1" applyAlignment="1">
      <alignment horizontal="right" wrapText="1"/>
    </xf>
    <xf numFmtId="0" fontId="10" fillId="0" borderId="43" xfId="0" applyFont="1" applyBorder="1" applyAlignment="1">
      <alignment horizontal="right" vertical="center"/>
    </xf>
    <xf numFmtId="0" fontId="0" fillId="0" borderId="0" xfId="0" applyBorder="1"/>
    <xf numFmtId="49" fontId="3" fillId="0" borderId="0" xfId="0" applyNumberFormat="1" applyFont="1" applyAlignment="1">
      <alignment horizontal="center"/>
    </xf>
    <xf numFmtId="0" fontId="28" fillId="0" borderId="43" xfId="0" applyFont="1" applyBorder="1" applyAlignment="1">
      <alignment horizontal="left" vertical="top" wrapText="1"/>
    </xf>
    <xf numFmtId="0" fontId="28" fillId="0" borderId="0" xfId="0" applyFont="1" applyBorder="1" applyAlignment="1">
      <alignment horizontal="left" vertical="top" wrapText="1"/>
    </xf>
    <xf numFmtId="0" fontId="28" fillId="0" borderId="21" xfId="0" applyFont="1" applyBorder="1" applyAlignment="1">
      <alignment horizontal="left" vertical="top" wrapText="1"/>
    </xf>
    <xf numFmtId="0" fontId="28" fillId="0" borderId="65" xfId="0" applyFont="1" applyBorder="1" applyAlignment="1">
      <alignment horizontal="left" vertical="top" wrapText="1"/>
    </xf>
    <xf numFmtId="0" fontId="28" fillId="0" borderId="23" xfId="0" applyFont="1" applyBorder="1" applyAlignment="1">
      <alignment horizontal="left" vertical="top" wrapText="1"/>
    </xf>
    <xf numFmtId="0" fontId="28" fillId="0" borderId="22" xfId="0" applyFont="1" applyBorder="1" applyAlignment="1">
      <alignment horizontal="left" vertical="top" wrapText="1"/>
    </xf>
    <xf numFmtId="0" fontId="9" fillId="0" borderId="75" xfId="0" applyFont="1" applyBorder="1" applyAlignment="1">
      <alignment horizontal="right" vertical="center"/>
    </xf>
    <xf numFmtId="0" fontId="9" fillId="0" borderId="97" xfId="0" applyFont="1" applyBorder="1" applyAlignment="1">
      <alignment horizontal="right" vertical="center"/>
    </xf>
    <xf numFmtId="0" fontId="9" fillId="0" borderId="98" xfId="0" applyFont="1" applyBorder="1" applyAlignment="1">
      <alignment horizontal="right" vertical="center"/>
    </xf>
    <xf numFmtId="0" fontId="16" fillId="0" borderId="45" xfId="0" applyFont="1" applyBorder="1" applyAlignment="1">
      <alignment horizontal="center"/>
    </xf>
    <xf numFmtId="0" fontId="16" fillId="0" borderId="64" xfId="0" applyFont="1" applyBorder="1" applyAlignment="1">
      <alignment horizontal="center"/>
    </xf>
    <xf numFmtId="0" fontId="8" fillId="3" borderId="0" xfId="0" applyFont="1" applyFill="1" applyAlignment="1">
      <alignment horizontal="center" vertical="center" wrapText="1"/>
    </xf>
    <xf numFmtId="0" fontId="10" fillId="0" borderId="48" xfId="0" applyFont="1" applyBorder="1" applyAlignment="1">
      <alignment horizontal="right" vertical="center"/>
    </xf>
    <xf numFmtId="0" fontId="10" fillId="0" borderId="45" xfId="0" applyFont="1" applyBorder="1" applyAlignment="1">
      <alignment horizontal="right" vertical="center"/>
    </xf>
    <xf numFmtId="0" fontId="11" fillId="0" borderId="60"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8" fillId="0" borderId="96" xfId="0" applyFont="1" applyBorder="1" applyAlignment="1">
      <alignment horizontal="right"/>
    </xf>
    <xf numFmtId="0" fontId="8" fillId="0" borderId="87" xfId="0" applyFont="1" applyBorder="1" applyAlignment="1">
      <alignment horizontal="right"/>
    </xf>
    <xf numFmtId="0" fontId="8" fillId="0" borderId="43" xfId="0" applyFont="1" applyFill="1" applyBorder="1" applyAlignment="1">
      <alignment horizontal="right"/>
    </xf>
    <xf numFmtId="0" fontId="8" fillId="0" borderId="0" xfId="0" applyFont="1" applyFill="1" applyBorder="1" applyAlignment="1">
      <alignment horizontal="right"/>
    </xf>
    <xf numFmtId="0" fontId="25" fillId="0" borderId="75"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78" xfId="0" applyFont="1" applyBorder="1" applyAlignment="1">
      <alignment horizontal="center" vertical="center" wrapText="1"/>
    </xf>
    <xf numFmtId="0" fontId="9" fillId="0" borderId="79" xfId="0" applyFont="1" applyBorder="1" applyAlignment="1">
      <alignment horizontal="right" vertical="center"/>
    </xf>
    <xf numFmtId="0" fontId="9" fillId="0" borderId="80" xfId="0" applyFont="1" applyBorder="1" applyAlignment="1">
      <alignment horizontal="right" vertical="center"/>
    </xf>
    <xf numFmtId="0" fontId="9" fillId="0" borderId="81" xfId="0" applyFont="1" applyBorder="1" applyAlignment="1">
      <alignment horizontal="right" vertical="center"/>
    </xf>
    <xf numFmtId="0" fontId="9" fillId="3" borderId="79" xfId="0" applyFont="1" applyFill="1" applyBorder="1" applyAlignment="1">
      <alignment horizontal="right" vertical="center"/>
    </xf>
    <xf numFmtId="0" fontId="9" fillId="3" borderId="80" xfId="0" applyFont="1" applyFill="1" applyBorder="1" applyAlignment="1">
      <alignment horizontal="right" vertical="center"/>
    </xf>
    <xf numFmtId="0" fontId="9" fillId="3" borderId="81" xfId="0" applyFont="1" applyFill="1" applyBorder="1" applyAlignment="1">
      <alignment horizontal="right" vertical="center"/>
    </xf>
    <xf numFmtId="0" fontId="1" fillId="0" borderId="0" xfId="0" applyFont="1" applyBorder="1" applyAlignment="1">
      <alignment horizontal="center" vertical="center" textRotation="90"/>
    </xf>
    <xf numFmtId="0" fontId="15" fillId="0" borderId="0" xfId="0" applyFont="1" applyBorder="1" applyAlignment="1">
      <alignment horizontal="left" vertical="top" wrapText="1"/>
    </xf>
    <xf numFmtId="0" fontId="14" fillId="0" borderId="48" xfId="0" applyFont="1" applyBorder="1" applyAlignment="1">
      <alignment horizontal="center" vertical="center"/>
    </xf>
    <xf numFmtId="0" fontId="14" fillId="0" borderId="64" xfId="0" applyFont="1" applyBorder="1" applyAlignment="1">
      <alignment horizontal="center" vertical="center"/>
    </xf>
    <xf numFmtId="0" fontId="14" fillId="0" borderId="43" xfId="0" applyFont="1" applyBorder="1" applyAlignment="1">
      <alignment horizontal="center" vertical="center"/>
    </xf>
    <xf numFmtId="0" fontId="14" fillId="0" borderId="21" xfId="0" applyFont="1" applyBorder="1" applyAlignment="1">
      <alignment horizontal="center" vertical="center"/>
    </xf>
    <xf numFmtId="0" fontId="14" fillId="3" borderId="82" xfId="0" applyFont="1" applyFill="1" applyBorder="1" applyAlignment="1">
      <alignment horizontal="center" vertical="center" wrapText="1"/>
    </xf>
    <xf numFmtId="0" fontId="9" fillId="0" borderId="96" xfId="0" applyFont="1" applyBorder="1" applyAlignment="1">
      <alignment horizontal="center" vertical="center" shrinkToFit="1"/>
    </xf>
    <xf numFmtId="0" fontId="9" fillId="0" borderId="88" xfId="0" applyFont="1" applyBorder="1" applyAlignment="1">
      <alignment horizontal="center" vertical="center" shrinkToFit="1"/>
    </xf>
    <xf numFmtId="0" fontId="9" fillId="3" borderId="93" xfId="0" applyFont="1" applyFill="1" applyBorder="1" applyAlignment="1">
      <alignment horizontal="right" vertical="center"/>
    </xf>
    <xf numFmtId="0" fontId="9" fillId="3" borderId="57" xfId="0" applyFont="1" applyFill="1" applyBorder="1" applyAlignment="1">
      <alignment horizontal="right" vertical="center"/>
    </xf>
    <xf numFmtId="0" fontId="9" fillId="3" borderId="94" xfId="0" applyFont="1" applyFill="1" applyBorder="1" applyAlignment="1">
      <alignment horizontal="right" vertical="center"/>
    </xf>
    <xf numFmtId="0" fontId="15" fillId="0" borderId="0" xfId="0" applyFont="1" applyBorder="1" applyAlignment="1">
      <alignment horizontal="right"/>
    </xf>
    <xf numFmtId="0" fontId="15" fillId="0" borderId="21" xfId="0" applyFont="1" applyBorder="1" applyAlignment="1">
      <alignment horizontal="right"/>
    </xf>
    <xf numFmtId="0" fontId="16" fillId="0" borderId="48" xfId="0" applyFont="1" applyBorder="1" applyAlignment="1">
      <alignment horizontal="center" vertical="center"/>
    </xf>
    <xf numFmtId="0" fontId="16" fillId="0" borderId="45" xfId="0" applyFont="1" applyBorder="1" applyAlignment="1">
      <alignment horizontal="center" vertical="center"/>
    </xf>
    <xf numFmtId="0" fontId="0" fillId="0" borderId="45" xfId="0" applyBorder="1" applyAlignment="1"/>
    <xf numFmtId="0" fontId="0" fillId="0" borderId="64" xfId="0" applyBorder="1" applyAlignment="1"/>
    <xf numFmtId="0" fontId="14" fillId="3" borderId="95" xfId="0" applyFont="1" applyFill="1" applyBorder="1" applyAlignment="1">
      <alignment horizontal="center" vertical="center" wrapText="1"/>
    </xf>
    <xf numFmtId="0" fontId="9" fillId="0" borderId="93" xfId="0" applyFont="1" applyBorder="1" applyAlignment="1">
      <alignment horizontal="right" vertical="center"/>
    </xf>
    <xf numFmtId="0" fontId="9" fillId="0" borderId="57" xfId="0" applyFont="1" applyBorder="1" applyAlignment="1">
      <alignment horizontal="right" vertical="center"/>
    </xf>
    <xf numFmtId="0" fontId="9" fillId="0" borderId="94" xfId="0" applyFont="1" applyBorder="1" applyAlignment="1">
      <alignment horizontal="right" vertical="center"/>
    </xf>
    <xf numFmtId="0" fontId="16" fillId="0" borderId="89" xfId="0" applyFont="1" applyBorder="1" applyAlignment="1">
      <alignment horizontal="center" vertical="center"/>
    </xf>
    <xf numFmtId="0" fontId="16" fillId="0" borderId="64" xfId="0" applyFont="1" applyBorder="1" applyAlignment="1">
      <alignment horizontal="center" vertical="center"/>
    </xf>
    <xf numFmtId="0" fontId="9" fillId="0" borderId="90" xfId="0" applyFont="1" applyBorder="1" applyAlignment="1">
      <alignment horizontal="center"/>
    </xf>
    <xf numFmtId="0" fontId="9" fillId="0" borderId="91" xfId="0" applyFont="1" applyBorder="1" applyAlignment="1">
      <alignment horizontal="center"/>
    </xf>
    <xf numFmtId="0" fontId="22" fillId="0" borderId="48"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0" xfId="0" applyFont="1" applyAlignment="1">
      <alignment horizontal="center" vertical="center" wrapText="1"/>
    </xf>
    <xf numFmtId="0" fontId="9" fillId="0" borderId="42" xfId="0" applyFont="1" applyBorder="1" applyAlignment="1">
      <alignment horizontal="left" vertical="center"/>
    </xf>
    <xf numFmtId="0" fontId="9" fillId="0" borderId="0" xfId="0" applyFont="1" applyBorder="1" applyAlignment="1">
      <alignment horizontal="left" vertical="center"/>
    </xf>
    <xf numFmtId="0" fontId="9" fillId="0" borderId="92" xfId="0" applyFont="1" applyBorder="1" applyAlignment="1">
      <alignment horizontal="left" vertical="center"/>
    </xf>
    <xf numFmtId="0" fontId="9" fillId="0" borderId="57" xfId="0" applyFont="1" applyBorder="1" applyAlignment="1">
      <alignment horizontal="left" vertical="center"/>
    </xf>
    <xf numFmtId="0" fontId="9" fillId="0" borderId="46" xfId="0" applyFont="1" applyBorder="1" applyAlignment="1">
      <alignment horizontal="left" vertical="center"/>
    </xf>
    <xf numFmtId="0" fontId="9" fillId="0" borderId="87" xfId="0" applyFont="1" applyBorder="1" applyAlignment="1">
      <alignment horizontal="left" vertical="center"/>
    </xf>
    <xf numFmtId="0" fontId="14" fillId="0" borderId="45" xfId="0" applyFont="1" applyBorder="1" applyAlignment="1">
      <alignment horizontal="center" vertical="center"/>
    </xf>
    <xf numFmtId="0" fontId="14" fillId="0" borderId="0" xfId="0" applyFont="1" applyBorder="1" applyAlignment="1">
      <alignment horizontal="center" vertical="center"/>
    </xf>
    <xf numFmtId="0" fontId="16" fillId="0" borderId="61" xfId="0" applyFont="1" applyBorder="1" applyAlignment="1">
      <alignment horizontal="center" vertical="center"/>
    </xf>
    <xf numFmtId="0" fontId="22" fillId="0" borderId="0" xfId="0" applyFont="1" applyBorder="1" applyAlignment="1">
      <alignment horizontal="center" vertical="center" wrapText="1"/>
    </xf>
    <xf numFmtId="0" fontId="13" fillId="0" borderId="83" xfId="0" applyFont="1" applyBorder="1" applyAlignment="1">
      <alignment horizontal="left" wrapText="1"/>
    </xf>
    <xf numFmtId="0" fontId="13" fillId="0" borderId="84" xfId="0" applyFont="1" applyBorder="1" applyAlignment="1">
      <alignment horizontal="left" wrapText="1"/>
    </xf>
    <xf numFmtId="0" fontId="13" fillId="0" borderId="85" xfId="0" applyFont="1" applyBorder="1" applyAlignment="1">
      <alignment horizontal="left" wrapText="1"/>
    </xf>
    <xf numFmtId="0" fontId="13" fillId="0" borderId="65" xfId="0" applyFont="1" applyBorder="1" applyAlignment="1">
      <alignment horizontal="left" wrapText="1"/>
    </xf>
    <xf numFmtId="0" fontId="13" fillId="0" borderId="23" xfId="0" applyFont="1" applyBorder="1" applyAlignment="1">
      <alignment horizontal="left" wrapText="1"/>
    </xf>
    <xf numFmtId="0" fontId="13" fillId="0" borderId="86" xfId="0" applyFont="1" applyBorder="1" applyAlignment="1">
      <alignment horizontal="left" wrapText="1"/>
    </xf>
    <xf numFmtId="0" fontId="9" fillId="0" borderId="46" xfId="0" applyFont="1" applyBorder="1" applyAlignment="1">
      <alignment horizontal="left" wrapText="1"/>
    </xf>
    <xf numFmtId="0" fontId="9" fillId="0" borderId="87" xfId="0" applyFont="1" applyBorder="1" applyAlignment="1">
      <alignment horizontal="left" wrapText="1"/>
    </xf>
    <xf numFmtId="0" fontId="9" fillId="0" borderId="88" xfId="0" applyFont="1" applyBorder="1" applyAlignment="1">
      <alignment horizontal="left" wrapText="1"/>
    </xf>
    <xf numFmtId="0" fontId="0" fillId="0" borderId="0" xfId="0" applyBorder="1" applyAlignment="1">
      <alignment horizontal="center" vertical="center"/>
    </xf>
    <xf numFmtId="0" fontId="31" fillId="0" borderId="43" xfId="0" applyFont="1" applyBorder="1" applyAlignment="1">
      <alignment horizontal="left" vertical="top" wrapText="1"/>
    </xf>
    <xf numFmtId="0" fontId="31" fillId="0" borderId="0" xfId="0" applyFont="1" applyBorder="1" applyAlignment="1">
      <alignment horizontal="left" vertical="top" wrapText="1"/>
    </xf>
    <xf numFmtId="0" fontId="1" fillId="0" borderId="48" xfId="0" applyFont="1" applyBorder="1" applyAlignment="1">
      <alignment horizontal="center"/>
    </xf>
    <xf numFmtId="0" fontId="1" fillId="0" borderId="45" xfId="0" applyFont="1" applyBorder="1" applyAlignment="1">
      <alignment horizontal="center"/>
    </xf>
    <xf numFmtId="0" fontId="1" fillId="0" borderId="64" xfId="0" applyFont="1" applyBorder="1" applyAlignment="1">
      <alignment horizontal="center"/>
    </xf>
    <xf numFmtId="0" fontId="1" fillId="7" borderId="75" xfId="0" applyFont="1" applyFill="1" applyBorder="1" applyAlignment="1">
      <alignment horizontal="center"/>
    </xf>
    <xf numFmtId="0" fontId="1" fillId="7" borderId="76" xfId="0" applyFont="1" applyFill="1" applyBorder="1" applyAlignment="1">
      <alignment horizontal="center"/>
    </xf>
    <xf numFmtId="0" fontId="1" fillId="7" borderId="77" xfId="0" applyFont="1" applyFill="1" applyBorder="1" applyAlignment="1">
      <alignment horizontal="center"/>
    </xf>
    <xf numFmtId="0" fontId="1" fillId="7" borderId="78" xfId="0" applyFont="1" applyFill="1" applyBorder="1" applyAlignment="1">
      <alignment horizontal="center"/>
    </xf>
    <xf numFmtId="184" fontId="3" fillId="0" borderId="0" xfId="0" applyNumberFormat="1" applyFont="1" applyAlignment="1">
      <alignment horizontal="center"/>
    </xf>
    <xf numFmtId="0" fontId="9" fillId="0" borderId="69" xfId="0" applyFont="1" applyFill="1" applyBorder="1" applyAlignment="1">
      <alignment horizontal="center"/>
    </xf>
    <xf numFmtId="0" fontId="9" fillId="0" borderId="71" xfId="0" applyFont="1" applyFill="1" applyBorder="1" applyAlignment="1">
      <alignment horizontal="center"/>
    </xf>
    <xf numFmtId="0" fontId="9" fillId="0" borderId="70" xfId="0" applyFont="1" applyFill="1" applyBorder="1" applyAlignment="1">
      <alignment horizontal="center"/>
    </xf>
    <xf numFmtId="0" fontId="20" fillId="0" borderId="110" xfId="0" applyFont="1" applyFill="1" applyBorder="1" applyAlignment="1">
      <alignment horizontal="center" vertical="center" textRotation="90"/>
    </xf>
    <xf numFmtId="0" fontId="20" fillId="0" borderId="0" xfId="0" applyFont="1" applyFill="1" applyBorder="1" applyAlignment="1">
      <alignment horizontal="center" vertical="center" textRotation="90"/>
    </xf>
    <xf numFmtId="0" fontId="8" fillId="3" borderId="0" xfId="0" applyFont="1" applyFill="1" applyAlignment="1">
      <alignment horizontal="justify" vertical="top" wrapText="1"/>
    </xf>
    <xf numFmtId="0" fontId="9" fillId="0" borderId="109" xfId="0" applyFont="1" applyFill="1" applyBorder="1" applyAlignment="1">
      <alignment horizontal="right"/>
    </xf>
    <xf numFmtId="0" fontId="9" fillId="0" borderId="97" xfId="0" applyFont="1" applyFill="1" applyBorder="1" applyAlignment="1">
      <alignment horizontal="right"/>
    </xf>
    <xf numFmtId="0" fontId="9" fillId="3" borderId="101" xfId="0" applyFont="1" applyFill="1" applyBorder="1" applyAlignment="1">
      <alignment horizontal="right"/>
    </xf>
    <xf numFmtId="0" fontId="9" fillId="3" borderId="80" xfId="0" applyFont="1" applyFill="1" applyBorder="1" applyAlignment="1">
      <alignment horizontal="right"/>
    </xf>
    <xf numFmtId="0" fontId="9" fillId="0" borderId="101" xfId="0" applyFont="1" applyFill="1" applyBorder="1" applyAlignment="1">
      <alignment horizontal="right"/>
    </xf>
    <xf numFmtId="0" fontId="9" fillId="0" borderId="80" xfId="0" applyFont="1" applyFill="1" applyBorder="1" applyAlignment="1">
      <alignment horizontal="right"/>
    </xf>
    <xf numFmtId="0" fontId="9" fillId="3" borderId="111" xfId="0" applyFont="1" applyFill="1" applyBorder="1" applyAlignment="1">
      <alignment horizontal="right"/>
    </xf>
    <xf numFmtId="0" fontId="9" fillId="3" borderId="112" xfId="0" applyFont="1" applyFill="1" applyBorder="1" applyAlignment="1">
      <alignment horizontal="right"/>
    </xf>
    <xf numFmtId="0" fontId="9" fillId="3" borderId="82" xfId="0" applyFont="1" applyFill="1" applyBorder="1" applyAlignment="1">
      <alignment horizontal="center"/>
    </xf>
    <xf numFmtId="0" fontId="9" fillId="0" borderId="0" xfId="0" applyFont="1" applyFill="1" applyBorder="1" applyAlignment="1">
      <alignment horizontal="center"/>
    </xf>
    <xf numFmtId="0" fontId="9" fillId="0" borderId="111" xfId="0" applyFont="1" applyFill="1" applyBorder="1" applyAlignment="1">
      <alignment horizontal="right"/>
    </xf>
    <xf numFmtId="0" fontId="9" fillId="0" borderId="112" xfId="0" applyFont="1" applyFill="1" applyBorder="1" applyAlignment="1">
      <alignment horizontal="right"/>
    </xf>
    <xf numFmtId="0" fontId="9" fillId="0" borderId="113" xfId="0" applyFont="1" applyFill="1" applyBorder="1" applyAlignment="1">
      <alignment horizontal="right"/>
    </xf>
    <xf numFmtId="0" fontId="9" fillId="0" borderId="103" xfId="0" applyFont="1" applyFill="1" applyBorder="1" applyAlignment="1">
      <alignment horizontal="right"/>
    </xf>
    <xf numFmtId="0" fontId="9" fillId="0" borderId="99" xfId="0" applyFont="1" applyFill="1" applyBorder="1" applyAlignment="1">
      <alignment horizontal="center" vertical="center"/>
    </xf>
    <xf numFmtId="0" fontId="9" fillId="0" borderId="100" xfId="0" applyFont="1" applyFill="1" applyBorder="1" applyAlignment="1">
      <alignment horizontal="center" vertical="center"/>
    </xf>
    <xf numFmtId="0" fontId="10" fillId="3" borderId="82" xfId="0" applyFont="1" applyFill="1" applyBorder="1" applyAlignment="1">
      <alignment horizontal="left"/>
    </xf>
    <xf numFmtId="0" fontId="9" fillId="0" borderId="0" xfId="0" applyFont="1" applyFill="1" applyBorder="1" applyAlignment="1">
      <alignment horizontal="left"/>
    </xf>
    <xf numFmtId="0" fontId="9" fillId="0" borderId="21" xfId="0" applyFont="1" applyFill="1" applyBorder="1" applyAlignment="1">
      <alignment horizontal="left"/>
    </xf>
    <xf numFmtId="0" fontId="9" fillId="3" borderId="79" xfId="0" applyFont="1" applyFill="1" applyBorder="1" applyAlignment="1">
      <alignment horizontal="right"/>
    </xf>
    <xf numFmtId="0" fontId="9" fillId="3" borderId="81" xfId="0" applyFont="1" applyFill="1" applyBorder="1" applyAlignment="1">
      <alignment horizontal="right"/>
    </xf>
    <xf numFmtId="0" fontId="9" fillId="0" borderId="75" xfId="0" applyFont="1" applyFill="1" applyBorder="1" applyAlignment="1">
      <alignment horizontal="right"/>
    </xf>
    <xf numFmtId="0" fontId="9" fillId="0" borderId="98" xfId="0" applyFont="1" applyFill="1" applyBorder="1" applyAlignment="1">
      <alignment horizontal="right"/>
    </xf>
    <xf numFmtId="0" fontId="9" fillId="0" borderId="79" xfId="0" applyFont="1" applyFill="1" applyBorder="1" applyAlignment="1">
      <alignment horizontal="right"/>
    </xf>
    <xf numFmtId="0" fontId="9" fillId="0" borderId="81" xfId="0" applyFont="1" applyFill="1" applyBorder="1" applyAlignment="1">
      <alignment horizontal="right"/>
    </xf>
    <xf numFmtId="0" fontId="9" fillId="3" borderId="93" xfId="0" applyFont="1" applyFill="1" applyBorder="1" applyAlignment="1">
      <alignment horizontal="right"/>
    </xf>
    <xf numFmtId="0" fontId="9" fillId="3" borderId="94" xfId="0" applyFont="1" applyFill="1" applyBorder="1" applyAlignment="1">
      <alignment horizontal="right"/>
    </xf>
    <xf numFmtId="0" fontId="1" fillId="0" borderId="110" xfId="0" applyFont="1" applyFill="1" applyBorder="1" applyAlignment="1">
      <alignment horizontal="center" textRotation="90"/>
    </xf>
    <xf numFmtId="0" fontId="9" fillId="0" borderId="102" xfId="0" applyFont="1" applyFill="1" applyBorder="1" applyAlignment="1">
      <alignment horizontal="center"/>
    </xf>
    <xf numFmtId="0" fontId="9" fillId="0" borderId="103" xfId="0" applyFont="1" applyFill="1" applyBorder="1" applyAlignment="1">
      <alignment horizontal="center"/>
    </xf>
    <xf numFmtId="0" fontId="9" fillId="0" borderId="104" xfId="0" applyFont="1" applyFill="1" applyBorder="1" applyAlignment="1">
      <alignment horizontal="center"/>
    </xf>
    <xf numFmtId="0" fontId="9" fillId="0" borderId="105" xfId="0" applyFont="1" applyFill="1" applyBorder="1" applyAlignment="1">
      <alignment horizontal="center"/>
    </xf>
    <xf numFmtId="0" fontId="9" fillId="0" borderId="106"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08" xfId="0" applyFont="1" applyFill="1" applyBorder="1" applyAlignment="1">
      <alignment horizontal="center" vertical="center"/>
    </xf>
    <xf numFmtId="0" fontId="18" fillId="0" borderId="0" xfId="0" applyFont="1" applyAlignment="1">
      <alignment horizontal="center" vertical="justify" wrapText="1"/>
    </xf>
    <xf numFmtId="0" fontId="9" fillId="0" borderId="96" xfId="0" applyFont="1" applyFill="1" applyBorder="1" applyAlignment="1">
      <alignment horizontal="center"/>
    </xf>
    <xf numFmtId="0" fontId="9" fillId="0" borderId="87" xfId="0" applyFont="1" applyFill="1" applyBorder="1" applyAlignment="1">
      <alignment horizontal="center"/>
    </xf>
    <xf numFmtId="0" fontId="9" fillId="0" borderId="88" xfId="0" applyFont="1" applyFill="1" applyBorder="1" applyAlignment="1">
      <alignment horizontal="center"/>
    </xf>
    <xf numFmtId="0" fontId="0" fillId="0" borderId="25" xfId="0" applyBorder="1" applyAlignment="1">
      <alignment horizontal="left" vertical="top"/>
    </xf>
    <xf numFmtId="0" fontId="0" fillId="0" borderId="114" xfId="0" applyBorder="1" applyAlignment="1">
      <alignment horizontal="left" vertical="top"/>
    </xf>
    <xf numFmtId="14" fontId="0" fillId="0" borderId="115" xfId="0" applyNumberFormat="1" applyBorder="1" applyAlignment="1">
      <alignment horizontal="left" vertical="top"/>
    </xf>
    <xf numFmtId="14" fontId="0" fillId="0" borderId="116" xfId="0" applyNumberFormat="1" applyBorder="1" applyAlignment="1">
      <alignment horizontal="left" vertical="top"/>
    </xf>
    <xf numFmtId="0" fontId="4" fillId="0" borderId="0" xfId="0" applyFont="1" applyAlignment="1">
      <alignment horizontal="center"/>
    </xf>
    <xf numFmtId="14" fontId="0" fillId="0" borderId="117" xfId="0" applyNumberFormat="1" applyBorder="1" applyAlignment="1">
      <alignment horizontal="left" vertical="top"/>
    </xf>
    <xf numFmtId="0" fontId="3" fillId="0" borderId="100" xfId="0" applyFont="1" applyBorder="1" applyAlignment="1">
      <alignment horizontal="left" vertical="top"/>
    </xf>
    <xf numFmtId="0" fontId="3" fillId="0" borderId="114" xfId="0" applyFont="1" applyBorder="1" applyAlignment="1">
      <alignment horizontal="left" vertical="top"/>
    </xf>
    <xf numFmtId="0" fontId="3" fillId="0" borderId="118" xfId="0" applyFont="1" applyBorder="1" applyAlignment="1">
      <alignment horizontal="left" vertical="top"/>
    </xf>
    <xf numFmtId="14" fontId="0" fillId="0" borderId="119" xfId="0" applyNumberFormat="1" applyBorder="1" applyAlignment="1">
      <alignment horizontal="left" vertical="top"/>
    </xf>
  </cellXfs>
  <cellStyles count="3">
    <cellStyle name="20% - Accent1" xfId="1" builtinId="30"/>
    <cellStyle name="Bad" xfId="2" builtinId="2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3" dropStyle="combo" dx="22" fmlaLink="$D$75" fmlaRange="$D$72:$D$7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6</xdr:row>
          <xdr:rowOff>9525</xdr:rowOff>
        </xdr:from>
        <xdr:to>
          <xdr:col>7</xdr:col>
          <xdr:colOff>76200</xdr:colOff>
          <xdr:row>7</xdr:row>
          <xdr:rowOff>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8116E52D-0B25-7419-361D-01393F888A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16C3-F1EA-4199-A8AF-ACE517F475B3}">
  <sheetPr>
    <tabColor indexed="10"/>
  </sheetPr>
  <dimension ref="A1:X75"/>
  <sheetViews>
    <sheetView topLeftCell="A41" zoomScaleNormal="100" workbookViewId="0">
      <selection activeCell="M58" sqref="M58"/>
    </sheetView>
  </sheetViews>
  <sheetFormatPr defaultRowHeight="12.75" x14ac:dyDescent="0.2"/>
  <cols>
    <col min="1" max="1" width="5.7109375" customWidth="1"/>
    <col min="2" max="2" width="11.7109375" customWidth="1"/>
    <col min="3" max="7" width="10.7109375" customWidth="1"/>
    <col min="8" max="8" width="10.5703125" customWidth="1"/>
    <col min="9" max="12" width="10.7109375" customWidth="1"/>
    <col min="13" max="13" width="9.85546875" bestFit="1" customWidth="1"/>
    <col min="14" max="14" width="9.28515625" bestFit="1" customWidth="1"/>
    <col min="15" max="15" width="9.85546875" bestFit="1" customWidth="1"/>
    <col min="17" max="17" width="19" bestFit="1" customWidth="1"/>
  </cols>
  <sheetData>
    <row r="1" spans="1:19" ht="21" x14ac:dyDescent="0.35">
      <c r="A1" s="258" t="s">
        <v>93</v>
      </c>
      <c r="B1" s="258"/>
      <c r="C1" s="258"/>
      <c r="D1" s="258"/>
      <c r="E1" s="258"/>
      <c r="F1" s="258"/>
      <c r="G1" s="258"/>
      <c r="H1" s="258"/>
      <c r="I1" s="258"/>
      <c r="J1" s="258"/>
      <c r="K1" s="258"/>
      <c r="L1" s="258"/>
      <c r="M1" s="258"/>
      <c r="N1" s="258"/>
      <c r="O1" s="258"/>
    </row>
    <row r="2" spans="1:19" s="4" customFormat="1" x14ac:dyDescent="0.2">
      <c r="A2" s="265" t="s">
        <v>128</v>
      </c>
      <c r="B2" s="265"/>
      <c r="C2" s="265"/>
      <c r="D2" s="265"/>
      <c r="E2" s="265"/>
      <c r="F2" s="265"/>
      <c r="G2" s="265"/>
      <c r="H2" s="265"/>
      <c r="I2" s="265"/>
      <c r="J2" s="265"/>
      <c r="K2" s="265"/>
      <c r="L2" s="265"/>
      <c r="M2" s="265"/>
      <c r="N2" s="265"/>
      <c r="O2" s="265"/>
    </row>
    <row r="3" spans="1:19" s="26" customFormat="1" ht="12.75" customHeight="1" x14ac:dyDescent="0.2">
      <c r="A3" s="277" t="s">
        <v>74</v>
      </c>
      <c r="B3" s="277"/>
      <c r="C3" s="277"/>
      <c r="D3" s="277"/>
      <c r="E3" s="277"/>
      <c r="F3" s="277"/>
      <c r="G3" s="277"/>
      <c r="H3" s="277"/>
      <c r="I3" s="277"/>
      <c r="J3" s="277"/>
      <c r="K3" s="277"/>
      <c r="L3" s="277"/>
      <c r="M3" s="277"/>
      <c r="N3" s="277"/>
      <c r="O3" s="277"/>
    </row>
    <row r="4" spans="1:19" ht="12.75" customHeight="1" x14ac:dyDescent="0.2">
      <c r="A4" s="277"/>
      <c r="B4" s="277"/>
      <c r="C4" s="277"/>
      <c r="D4" s="277"/>
      <c r="E4" s="277"/>
      <c r="F4" s="277"/>
      <c r="G4" s="277"/>
      <c r="H4" s="277"/>
      <c r="I4" s="277"/>
      <c r="J4" s="277"/>
      <c r="K4" s="277"/>
      <c r="L4" s="277"/>
      <c r="M4" s="277"/>
      <c r="N4" s="277"/>
      <c r="O4" s="277"/>
    </row>
    <row r="5" spans="1:19" ht="12.75" customHeight="1" x14ac:dyDescent="0.2">
      <c r="A5" s="199"/>
      <c r="B5" s="199"/>
      <c r="C5" s="199"/>
      <c r="D5" s="199"/>
      <c r="E5" s="199"/>
      <c r="F5" s="199"/>
      <c r="G5" s="199"/>
      <c r="H5" s="199"/>
      <c r="I5" s="199"/>
      <c r="J5" s="199"/>
      <c r="K5" s="199"/>
      <c r="L5" s="199"/>
      <c r="M5" s="199"/>
      <c r="N5" s="199"/>
      <c r="O5" s="199"/>
    </row>
    <row r="6" spans="1:19" ht="12.75" customHeight="1" thickBot="1" x14ac:dyDescent="0.25">
      <c r="A6" s="12"/>
      <c r="B6" s="12"/>
      <c r="C6" s="12"/>
      <c r="D6" s="12"/>
      <c r="E6" s="12"/>
      <c r="F6" s="12"/>
      <c r="G6" s="12"/>
      <c r="H6" s="12"/>
      <c r="I6" s="12"/>
      <c r="J6" s="12"/>
      <c r="K6" s="12"/>
      <c r="L6" s="12"/>
      <c r="M6" s="12"/>
      <c r="N6" s="12"/>
      <c r="O6" s="12"/>
    </row>
    <row r="7" spans="1:19" ht="17.45" customHeight="1" x14ac:dyDescent="0.25">
      <c r="B7" s="200"/>
      <c r="C7" s="200"/>
      <c r="D7" s="201"/>
      <c r="E7" s="278" t="s">
        <v>51</v>
      </c>
      <c r="F7" s="279"/>
      <c r="G7" s="198"/>
      <c r="H7" s="275" t="s">
        <v>52</v>
      </c>
      <c r="I7" s="275"/>
      <c r="J7" s="275"/>
      <c r="K7" s="275"/>
      <c r="L7" s="275"/>
      <c r="M7" s="275"/>
      <c r="N7" s="275"/>
      <c r="O7" s="276"/>
      <c r="P7" s="125"/>
    </row>
    <row r="8" spans="1:19" ht="17.45" customHeight="1" x14ac:dyDescent="0.2">
      <c r="E8" s="263" t="s">
        <v>117</v>
      </c>
      <c r="F8" s="264"/>
      <c r="G8" s="280">
        <v>150</v>
      </c>
      <c r="H8" s="341" t="s">
        <v>106</v>
      </c>
      <c r="I8" s="342"/>
      <c r="J8" s="342"/>
      <c r="K8" s="342"/>
      <c r="L8" s="342"/>
      <c r="M8" s="342"/>
      <c r="N8" s="342"/>
      <c r="O8" s="343"/>
      <c r="P8" s="125"/>
    </row>
    <row r="9" spans="1:19" ht="17.45" customHeight="1" x14ac:dyDescent="0.2">
      <c r="B9" s="202"/>
      <c r="C9" s="202"/>
      <c r="D9" s="203"/>
      <c r="E9" s="263" t="s">
        <v>122</v>
      </c>
      <c r="F9" s="264"/>
      <c r="G9" s="280"/>
      <c r="H9" s="17"/>
      <c r="I9" s="17"/>
      <c r="J9" s="17"/>
      <c r="K9" s="17"/>
      <c r="L9" s="123"/>
      <c r="M9" s="28"/>
      <c r="N9" s="2"/>
      <c r="O9" s="124"/>
    </row>
    <row r="10" spans="1:19" ht="17.45" customHeight="1" thickBot="1" x14ac:dyDescent="0.25">
      <c r="B10" s="204"/>
      <c r="C10" s="204"/>
      <c r="D10" s="205"/>
      <c r="E10" s="259" t="s">
        <v>50</v>
      </c>
      <c r="F10" s="260"/>
      <c r="G10" s="280" t="s">
        <v>131</v>
      </c>
      <c r="H10" s="137" t="s">
        <v>37</v>
      </c>
      <c r="I10" s="182"/>
      <c r="J10" s="182"/>
      <c r="K10" s="182"/>
      <c r="L10" s="188" t="s">
        <v>38</v>
      </c>
      <c r="M10" s="182"/>
      <c r="N10" s="182"/>
      <c r="O10" s="185"/>
    </row>
    <row r="11" spans="1:19" ht="17.45" customHeight="1" thickBot="1" x14ac:dyDescent="0.25">
      <c r="A11" s="286" t="s">
        <v>126</v>
      </c>
      <c r="B11" s="287"/>
      <c r="C11" s="287"/>
      <c r="D11" s="288"/>
      <c r="E11" s="261"/>
      <c r="F11" s="262"/>
      <c r="G11" s="281"/>
      <c r="H11" s="326" t="s">
        <v>41</v>
      </c>
      <c r="I11" s="326"/>
      <c r="J11" s="193">
        <v>1865</v>
      </c>
      <c r="K11" s="182" t="s">
        <v>86</v>
      </c>
      <c r="L11" s="184" t="s">
        <v>39</v>
      </c>
      <c r="M11" s="183"/>
      <c r="N11" s="194">
        <v>10</v>
      </c>
      <c r="O11" s="185" t="s">
        <v>48</v>
      </c>
    </row>
    <row r="12" spans="1:19" ht="17.45" customHeight="1" x14ac:dyDescent="0.2">
      <c r="A12" s="266" t="s">
        <v>125</v>
      </c>
      <c r="B12" s="267"/>
      <c r="C12" s="267"/>
      <c r="D12" s="268"/>
      <c r="E12" s="139" t="s">
        <v>56</v>
      </c>
      <c r="F12" s="140"/>
      <c r="G12" s="196"/>
      <c r="H12" s="325" t="s">
        <v>42</v>
      </c>
      <c r="I12" s="326"/>
      <c r="J12" s="193">
        <v>1428</v>
      </c>
      <c r="K12" s="182" t="s">
        <v>86</v>
      </c>
      <c r="L12" s="184" t="s">
        <v>40</v>
      </c>
      <c r="M12" s="183"/>
      <c r="N12" s="194">
        <v>1.77</v>
      </c>
      <c r="O12" s="185" t="s">
        <v>49</v>
      </c>
      <c r="Q12" s="231" t="s">
        <v>134</v>
      </c>
      <c r="R12" s="232">
        <f>J16*G8</f>
        <v>301.8</v>
      </c>
      <c r="S12" t="s">
        <v>89</v>
      </c>
    </row>
    <row r="13" spans="1:19" ht="17.45" customHeight="1" thickBot="1" x14ac:dyDescent="0.25">
      <c r="A13" s="266"/>
      <c r="B13" s="267"/>
      <c r="C13" s="267"/>
      <c r="D13" s="268"/>
      <c r="E13" s="284" t="s">
        <v>60</v>
      </c>
      <c r="F13" s="285"/>
      <c r="G13" s="192" t="s">
        <v>131</v>
      </c>
      <c r="H13" s="325" t="s">
        <v>43</v>
      </c>
      <c r="I13" s="326"/>
      <c r="J13" s="193">
        <v>491</v>
      </c>
      <c r="K13" s="182" t="s">
        <v>86</v>
      </c>
      <c r="L13" s="189" t="s">
        <v>47</v>
      </c>
      <c r="M13" s="190"/>
      <c r="N13" s="195">
        <v>4.17</v>
      </c>
      <c r="O13" s="191" t="s">
        <v>49</v>
      </c>
      <c r="Q13" s="233" t="s">
        <v>135</v>
      </c>
      <c r="R13" s="234">
        <f>55*R12^(0.11)-40</f>
        <v>63.06988830108979</v>
      </c>
      <c r="S13" t="s">
        <v>89</v>
      </c>
    </row>
    <row r="14" spans="1:19" ht="17.45" customHeight="1" x14ac:dyDescent="0.2">
      <c r="A14" s="266"/>
      <c r="B14" s="267"/>
      <c r="C14" s="267"/>
      <c r="D14" s="268"/>
      <c r="E14" s="282" t="s">
        <v>94</v>
      </c>
      <c r="F14" s="283"/>
      <c r="G14" s="197" t="s">
        <v>132</v>
      </c>
      <c r="H14" s="325" t="s">
        <v>44</v>
      </c>
      <c r="I14" s="326"/>
      <c r="J14" s="193">
        <v>73</v>
      </c>
      <c r="K14" s="185" t="s">
        <v>86</v>
      </c>
      <c r="L14" s="321" t="str">
        <f>IF(G10="N","Reminder: If not using cement supplement, compensate with more cement! (Default 564 lbs)","")</f>
        <v/>
      </c>
      <c r="M14" s="322"/>
      <c r="N14" s="322"/>
      <c r="O14" s="322"/>
    </row>
    <row r="15" spans="1:19" ht="17.45" customHeight="1" x14ac:dyDescent="0.2">
      <c r="A15" s="266"/>
      <c r="B15" s="267"/>
      <c r="C15" s="267"/>
      <c r="D15" s="268"/>
      <c r="E15" s="335" t="s">
        <v>111</v>
      </c>
      <c r="F15" s="336"/>
      <c r="G15" s="337"/>
      <c r="H15" s="329" t="s">
        <v>45</v>
      </c>
      <c r="I15" s="330"/>
      <c r="J15" s="193">
        <v>20</v>
      </c>
      <c r="K15" s="185" t="s">
        <v>87</v>
      </c>
      <c r="L15" s="323"/>
      <c r="M15" s="324"/>
      <c r="N15" s="324"/>
      <c r="O15" s="324"/>
    </row>
    <row r="16" spans="1:19" ht="17.45" customHeight="1" thickBot="1" x14ac:dyDescent="0.25">
      <c r="A16" s="269"/>
      <c r="B16" s="270"/>
      <c r="C16" s="270"/>
      <c r="D16" s="271"/>
      <c r="E16" s="338"/>
      <c r="F16" s="339"/>
      <c r="G16" s="340"/>
      <c r="H16" s="327" t="s">
        <v>46</v>
      </c>
      <c r="I16" s="328"/>
      <c r="J16" s="186">
        <f>(SUM(J11:J14)+(J15*8.35))/2000</f>
        <v>2.012</v>
      </c>
      <c r="K16" s="187" t="s">
        <v>88</v>
      </c>
      <c r="L16" s="323" t="str">
        <f>IF(OR(AND(G13&lt;&gt;"Y",G13&lt;&gt;"N"),AND(G14&lt;&gt;"Y",G14&lt;&gt;"N")),"FAIL! Y &amp; N are the only acceptable answers!",IF(AND(G13="N",G14="Y"),"FAIL! You can't reuse what you don't control!",""))</f>
        <v/>
      </c>
      <c r="M16" s="334"/>
      <c r="N16" s="334"/>
      <c r="O16" s="334"/>
    </row>
    <row r="17" spans="1:19" ht="17.45" customHeight="1" x14ac:dyDescent="0.2">
      <c r="A17" s="2"/>
      <c r="B17" s="2"/>
      <c r="C17" s="138"/>
      <c r="D17" s="138"/>
      <c r="E17" s="132"/>
      <c r="F17" s="132"/>
      <c r="G17" s="131"/>
      <c r="H17" s="17"/>
      <c r="I17" s="17"/>
      <c r="J17" s="17"/>
      <c r="K17" s="17"/>
      <c r="L17" s="2"/>
      <c r="M17" s="2"/>
    </row>
    <row r="18" spans="1:19" ht="17.45" customHeight="1" thickBot="1" x14ac:dyDescent="0.25">
      <c r="A18" s="2"/>
      <c r="B18" s="2"/>
      <c r="C18" s="138"/>
      <c r="D18" s="138"/>
      <c r="E18" s="141"/>
      <c r="F18" s="138"/>
      <c r="G18" s="2"/>
      <c r="H18" s="17"/>
      <c r="I18" s="17"/>
      <c r="J18" s="17"/>
      <c r="K18" s="17"/>
      <c r="L18" s="2"/>
      <c r="M18" s="2"/>
    </row>
    <row r="19" spans="1:19" ht="17.45" customHeight="1" thickBot="1" x14ac:dyDescent="0.25">
      <c r="C19" s="301" t="s">
        <v>95</v>
      </c>
      <c r="D19" s="301"/>
      <c r="E19" s="301"/>
      <c r="F19" s="27"/>
      <c r="H19" s="297" t="s">
        <v>7</v>
      </c>
      <c r="I19" s="298"/>
      <c r="J19" s="297" t="s">
        <v>98</v>
      </c>
      <c r="K19" s="298"/>
      <c r="L19" s="331" t="s">
        <v>99</v>
      </c>
      <c r="M19" s="298"/>
    </row>
    <row r="20" spans="1:19" ht="17.45" customHeight="1" x14ac:dyDescent="0.2">
      <c r="H20" s="299"/>
      <c r="I20" s="300"/>
      <c r="J20" s="299"/>
      <c r="K20" s="300"/>
      <c r="L20" s="332"/>
      <c r="M20" s="300"/>
    </row>
    <row r="21" spans="1:19" ht="17.45" customHeight="1" thickBot="1" x14ac:dyDescent="0.25">
      <c r="H21" s="19" t="s">
        <v>89</v>
      </c>
      <c r="I21" s="20" t="s">
        <v>90</v>
      </c>
      <c r="J21" s="19" t="s">
        <v>89</v>
      </c>
      <c r="K21" s="20" t="s">
        <v>90</v>
      </c>
      <c r="L21" s="21" t="s">
        <v>89</v>
      </c>
      <c r="M21" s="20" t="s">
        <v>90</v>
      </c>
    </row>
    <row r="22" spans="1:19" ht="17.45" customHeight="1" thickTop="1" x14ac:dyDescent="0.2">
      <c r="C22" s="295" t="s">
        <v>91</v>
      </c>
      <c r="D22" s="272" t="s">
        <v>9</v>
      </c>
      <c r="E22" s="273"/>
      <c r="F22" s="273"/>
      <c r="G22" s="274"/>
      <c r="H22" s="142">
        <f>$G$8*'Emission Factors'!E8</f>
        <v>0.96769882333438817</v>
      </c>
      <c r="I22" s="143">
        <f t="shared" ref="I22:I27" si="0">H22*8760/2000</f>
        <v>4.2385208462046204</v>
      </c>
      <c r="J22" s="142">
        <f>$G$8*'Emission Factors'!F8</f>
        <v>0.45769538941491333</v>
      </c>
      <c r="K22" s="143">
        <f t="shared" ref="K22:K27" si="1">J22*8760/2000</f>
        <v>2.0047058056373204</v>
      </c>
      <c r="L22" s="142">
        <f>$G$8*'Emission Factors'!G8</f>
        <v>6.9308158968544017E-2</v>
      </c>
      <c r="M22" s="143">
        <f t="shared" ref="M22:M27" si="2">L22*8760/2000</f>
        <v>0.30356973628222278</v>
      </c>
      <c r="P22" s="251"/>
    </row>
    <row r="23" spans="1:19" ht="17.45" customHeight="1" x14ac:dyDescent="0.2">
      <c r="C23" s="295"/>
      <c r="D23" s="292" t="s">
        <v>10</v>
      </c>
      <c r="E23" s="293"/>
      <c r="F23" s="293"/>
      <c r="G23" s="294"/>
      <c r="H23" s="144">
        <f>$G$8*'Emission Factors'!E9</f>
        <v>0.22323468827547324</v>
      </c>
      <c r="I23" s="145">
        <f t="shared" si="0"/>
        <v>0.97776793464657286</v>
      </c>
      <c r="J23" s="144">
        <f>$G$8*'Emission Factors'!F9</f>
        <v>0.10558397418434547</v>
      </c>
      <c r="K23" s="145">
        <f t="shared" si="1"/>
        <v>0.4624578069274331</v>
      </c>
      <c r="L23" s="144">
        <f>$G$8*'Emission Factors'!G9</f>
        <v>1.59884303764866E-2</v>
      </c>
      <c r="M23" s="145">
        <f t="shared" si="2"/>
        <v>7.0029325049011298E-2</v>
      </c>
    </row>
    <row r="24" spans="1:19" ht="17.45" customHeight="1" x14ac:dyDescent="0.2">
      <c r="C24" s="295"/>
      <c r="D24" s="289" t="s">
        <v>11</v>
      </c>
      <c r="E24" s="290"/>
      <c r="F24" s="290"/>
      <c r="G24" s="291"/>
      <c r="H24" s="142">
        <f>$G$8*'Emission Factors'!E10</f>
        <v>0.96769882333438817</v>
      </c>
      <c r="I24" s="143">
        <f t="shared" si="0"/>
        <v>4.2385208462046204</v>
      </c>
      <c r="J24" s="142">
        <f>$G$8*'Emission Factors'!F10</f>
        <v>0.45769538941491333</v>
      </c>
      <c r="K24" s="143">
        <f t="shared" si="1"/>
        <v>2.0047058056373204</v>
      </c>
      <c r="L24" s="142">
        <f>$G$8*'Emission Factors'!G10</f>
        <v>6.9308158968544017E-2</v>
      </c>
      <c r="M24" s="143">
        <f t="shared" si="2"/>
        <v>0.30356973628222278</v>
      </c>
    </row>
    <row r="25" spans="1:19" ht="17.45" customHeight="1" x14ac:dyDescent="0.2">
      <c r="C25" s="295"/>
      <c r="D25" s="292" t="s">
        <v>12</v>
      </c>
      <c r="E25" s="293"/>
      <c r="F25" s="293"/>
      <c r="G25" s="294"/>
      <c r="H25" s="144">
        <f>$G$8*'Emission Factors'!E11</f>
        <v>0.22323468827547324</v>
      </c>
      <c r="I25" s="145">
        <f t="shared" si="0"/>
        <v>0.97776793464657286</v>
      </c>
      <c r="J25" s="144">
        <f>$G$8*'Emission Factors'!F11</f>
        <v>0.10558397418434547</v>
      </c>
      <c r="K25" s="145">
        <f t="shared" si="1"/>
        <v>0.4624578069274331</v>
      </c>
      <c r="L25" s="144">
        <f>$G$8*'Emission Factors'!G11</f>
        <v>1.59884303764866E-2</v>
      </c>
      <c r="M25" s="145">
        <f t="shared" si="2"/>
        <v>7.0029325049011298E-2</v>
      </c>
    </row>
    <row r="26" spans="1:19" ht="17.45" customHeight="1" x14ac:dyDescent="0.2">
      <c r="C26" s="295"/>
      <c r="D26" s="289" t="s">
        <v>13</v>
      </c>
      <c r="E26" s="290"/>
      <c r="F26" s="290"/>
      <c r="G26" s="291"/>
      <c r="H26" s="142">
        <f>$G$8*'Emission Factors'!E12</f>
        <v>0.96769882333438817</v>
      </c>
      <c r="I26" s="143">
        <f t="shared" si="0"/>
        <v>4.2385208462046204</v>
      </c>
      <c r="J26" s="142">
        <f>$G$8*'Emission Factors'!F12</f>
        <v>0.45769538941491333</v>
      </c>
      <c r="K26" s="143">
        <f t="shared" si="1"/>
        <v>2.0047058056373204</v>
      </c>
      <c r="L26" s="142">
        <f>$G$8*'Emission Factors'!G12</f>
        <v>6.9308158968544017E-2</v>
      </c>
      <c r="M26" s="143">
        <f t="shared" si="2"/>
        <v>0.30356973628222278</v>
      </c>
    </row>
    <row r="27" spans="1:19" ht="17.45" customHeight="1" x14ac:dyDescent="0.2">
      <c r="C27" s="295"/>
      <c r="D27" s="292" t="s">
        <v>14</v>
      </c>
      <c r="E27" s="293"/>
      <c r="F27" s="293"/>
      <c r="G27" s="294"/>
      <c r="H27" s="144">
        <f>$G$8*'Emission Factors'!E13</f>
        <v>0.22323468827547324</v>
      </c>
      <c r="I27" s="145">
        <f t="shared" si="0"/>
        <v>0.97776793464657286</v>
      </c>
      <c r="J27" s="144">
        <f>$G$8*'Emission Factors'!F13</f>
        <v>0.10558397418434547</v>
      </c>
      <c r="K27" s="145">
        <f t="shared" si="1"/>
        <v>0.4624578069274331</v>
      </c>
      <c r="L27" s="144">
        <f>$G$8*'Emission Factors'!G13</f>
        <v>1.59884303764866E-2</v>
      </c>
      <c r="M27" s="145">
        <f t="shared" si="2"/>
        <v>7.0029325049011298E-2</v>
      </c>
    </row>
    <row r="28" spans="1:19" ht="17.45" customHeight="1" x14ac:dyDescent="0.2">
      <c r="C28" s="295"/>
      <c r="D28" s="289" t="s">
        <v>15</v>
      </c>
      <c r="E28" s="290"/>
      <c r="F28" s="290"/>
      <c r="G28" s="291"/>
      <c r="H28" s="142">
        <f>$G$8*'Emission Factors'!H14</f>
        <v>3.6456750000000003E-2</v>
      </c>
      <c r="I28" s="143">
        <f>H28*8760/2000</f>
        <v>0.159680565</v>
      </c>
      <c r="J28" s="142">
        <f>$G$8*'Emission Factors'!I14</f>
        <v>1.25205E-2</v>
      </c>
      <c r="K28" s="146">
        <f>J28*8760/2000</f>
        <v>5.4839789999999999E-2</v>
      </c>
      <c r="L28" s="142">
        <f>$G$8*'Emission Factors'!J14</f>
        <v>1.25205E-2</v>
      </c>
      <c r="M28" s="143">
        <f>L28*8760/2000</f>
        <v>5.4839789999999999E-2</v>
      </c>
    </row>
    <row r="29" spans="1:19" ht="17.45" customHeight="1" x14ac:dyDescent="0.2">
      <c r="C29" s="295"/>
      <c r="D29" s="292" t="s">
        <v>100</v>
      </c>
      <c r="E29" s="293"/>
      <c r="F29" s="293"/>
      <c r="G29" s="294"/>
      <c r="H29" s="144">
        <f>IF(G10="Y",G8*'Emission Factors'!H15,"-")</f>
        <v>4.8727499999999993E-2</v>
      </c>
      <c r="I29" s="145">
        <f>IF(H29="-","-",H29*8760/2000)</f>
        <v>0.21342644999999996</v>
      </c>
      <c r="J29" s="144">
        <f>IF(G10="Y",G8*'Emission Factors'!I15,"-")</f>
        <v>2.6827499999999997E-2</v>
      </c>
      <c r="K29" s="147">
        <f>IF(J29="-","-",J29*8760/2000)</f>
        <v>0.11750445</v>
      </c>
      <c r="L29" s="144">
        <f>IF(G10="Y",G8*'Emission Factors'!J15,"-")</f>
        <v>2.6827499999999997E-2</v>
      </c>
      <c r="M29" s="145">
        <f>IF(L29="-","-",L29*8760/2000)</f>
        <v>0.11750445</v>
      </c>
    </row>
    <row r="30" spans="1:19" ht="17.45" customHeight="1" x14ac:dyDescent="0.2">
      <c r="C30" s="295"/>
      <c r="D30" s="289" t="s">
        <v>16</v>
      </c>
      <c r="E30" s="290"/>
      <c r="F30" s="290"/>
      <c r="G30" s="291"/>
      <c r="H30" s="142">
        <f>'Emission Factors'!E16*G8</f>
        <v>1.1909335116098616</v>
      </c>
      <c r="I30" s="143">
        <f>H30*8760/2000</f>
        <v>5.216288780851194</v>
      </c>
      <c r="J30" s="142">
        <f>'Emission Factors'!F16*G8</f>
        <v>0.56327936359925879</v>
      </c>
      <c r="K30" s="143">
        <f>J30*8760/2000</f>
        <v>2.4671636125647534</v>
      </c>
      <c r="L30" s="142">
        <f>'Emission Factors'!G16*G8</f>
        <v>8.5296589345030649E-2</v>
      </c>
      <c r="M30" s="143">
        <f>L30*8760/2000</f>
        <v>0.37359906133123422</v>
      </c>
    </row>
    <row r="31" spans="1:19" ht="17.45" customHeight="1" thickBot="1" x14ac:dyDescent="0.25">
      <c r="C31" s="295"/>
      <c r="D31" s="304" t="s">
        <v>30</v>
      </c>
      <c r="E31" s="305"/>
      <c r="F31" s="305"/>
      <c r="G31" s="306"/>
      <c r="H31" s="148">
        <f>IF('Emission Factors'!E17="-","-",'Emission Factors'!E17*G8)</f>
        <v>24.195599999999995</v>
      </c>
      <c r="I31" s="149">
        <f>IF(H31="-","-",H31*8760/2000)</f>
        <v>105.97672799999998</v>
      </c>
      <c r="J31" s="148">
        <f>IF('Emission Factors'!F17="-","-",'Emission Factors'!F17*G8)</f>
        <v>6.5987999999999998</v>
      </c>
      <c r="K31" s="149">
        <f>IF(J31="-","-",J31*8760/2000)</f>
        <v>28.902743999999998</v>
      </c>
      <c r="L31" s="148">
        <f>IF('Emission Factors'!G17="-","-",'Emission Factors'!G17*G8)</f>
        <v>0.76139999999999985</v>
      </c>
      <c r="M31" s="149">
        <f>IF(L31="-","-",L31*8760/2000)</f>
        <v>3.3349319999999993</v>
      </c>
      <c r="N31" s="345" t="s">
        <v>133</v>
      </c>
      <c r="O31" s="346"/>
      <c r="P31" s="346"/>
      <c r="Q31" s="346"/>
      <c r="R31" s="346"/>
      <c r="S31" s="346"/>
    </row>
    <row r="32" spans="1:19" ht="17.45" customHeight="1" x14ac:dyDescent="0.2">
      <c r="D32" s="307" t="s">
        <v>31</v>
      </c>
      <c r="E32" s="307"/>
      <c r="F32" s="307"/>
      <c r="G32" s="308"/>
      <c r="H32" s="224">
        <f>SUM(H22:H27,H28:H29,H30)+IF(AND(H49="-",H31="-"),0,IF(H31="-",H49,H31))</f>
        <v>29.044518296439442</v>
      </c>
      <c r="I32" s="151">
        <f>H32*8760/2000</f>
        <v>127.21499013840476</v>
      </c>
      <c r="J32" s="224">
        <f>SUM(J22:J27,J28:J29,J30)+IF(AND(J31="-",J49="-"),0,IF(J31="-",J49,J31))</f>
        <v>8.8912654543970344</v>
      </c>
      <c r="K32" s="151">
        <f>J32*8760/2000</f>
        <v>38.943742690259008</v>
      </c>
      <c r="L32" s="224">
        <f>SUM(L22:L27,L28:L29,L30)+IF(AND(L31="-",L49="-"),0,IF(L31="-",L49,L31))</f>
        <v>1.1419343573801224</v>
      </c>
      <c r="M32" s="152">
        <f>L32*8760/2000</f>
        <v>5.0016724853249359</v>
      </c>
      <c r="N32" s="345"/>
      <c r="O32" s="346"/>
      <c r="P32" s="346"/>
      <c r="Q32" s="346"/>
      <c r="R32" s="346"/>
      <c r="S32" s="346"/>
    </row>
    <row r="33" spans="2:17" ht="17.45" customHeight="1" x14ac:dyDescent="0.2">
      <c r="C33" s="296" t="s">
        <v>116</v>
      </c>
      <c r="D33" s="296"/>
      <c r="E33" s="296"/>
      <c r="F33" s="296"/>
      <c r="G33" s="296"/>
      <c r="H33" s="296"/>
      <c r="I33" s="296"/>
      <c r="J33" s="296"/>
      <c r="K33" s="296"/>
      <c r="L33" s="296"/>
      <c r="M33" s="296"/>
    </row>
    <row r="34" spans="2:17" ht="17.45" customHeight="1" x14ac:dyDescent="0.2">
      <c r="B34" s="126"/>
      <c r="C34" s="296"/>
      <c r="D34" s="296"/>
      <c r="E34" s="296"/>
      <c r="F34" s="296"/>
      <c r="G34" s="296"/>
      <c r="H34" s="296"/>
      <c r="I34" s="296"/>
      <c r="J34" s="296"/>
      <c r="K34" s="296"/>
      <c r="L34" s="296"/>
      <c r="M34" s="296"/>
    </row>
    <row r="35" spans="2:17" ht="17.45" customHeight="1" x14ac:dyDescent="0.2">
      <c r="B35" s="29"/>
      <c r="C35" s="29"/>
      <c r="D35" s="29"/>
      <c r="E35" s="29"/>
      <c r="F35" s="29"/>
      <c r="G35" s="29"/>
      <c r="H35" s="29"/>
      <c r="I35" s="29"/>
      <c r="J35" s="29"/>
      <c r="K35" s="29"/>
    </row>
    <row r="36" spans="2:17" ht="17.45" customHeight="1" thickBot="1" x14ac:dyDescent="0.25">
      <c r="B36" s="18"/>
      <c r="C36" s="18"/>
      <c r="D36" s="18"/>
      <c r="E36" s="18"/>
    </row>
    <row r="37" spans="2:17" ht="17.45" customHeight="1" thickBot="1" x14ac:dyDescent="0.25">
      <c r="C37" s="301" t="s">
        <v>96</v>
      </c>
      <c r="D37" s="301"/>
      <c r="E37" s="301"/>
      <c r="F37" s="27"/>
      <c r="H37" s="297" t="s">
        <v>7</v>
      </c>
      <c r="I37" s="298"/>
      <c r="J37" s="297" t="s">
        <v>98</v>
      </c>
      <c r="K37" s="298"/>
      <c r="L37" s="331" t="s">
        <v>99</v>
      </c>
      <c r="M37" s="298"/>
    </row>
    <row r="38" spans="2:17" ht="17.45" customHeight="1" x14ac:dyDescent="0.2">
      <c r="H38" s="299"/>
      <c r="I38" s="300"/>
      <c r="J38" s="299"/>
      <c r="K38" s="300"/>
      <c r="L38" s="332"/>
      <c r="M38" s="300"/>
    </row>
    <row r="39" spans="2:17" ht="17.45" customHeight="1" thickBot="1" x14ac:dyDescent="0.25">
      <c r="H39" s="19" t="s">
        <v>89</v>
      </c>
      <c r="I39" s="20" t="s">
        <v>90</v>
      </c>
      <c r="J39" s="19" t="s">
        <v>89</v>
      </c>
      <c r="K39" s="20" t="s">
        <v>90</v>
      </c>
      <c r="L39" s="21" t="s">
        <v>89</v>
      </c>
      <c r="M39" s="20" t="s">
        <v>90</v>
      </c>
      <c r="O39" s="251"/>
      <c r="P39" s="251"/>
      <c r="Q39" s="251"/>
    </row>
    <row r="40" spans="2:17" ht="17.45" customHeight="1" thickTop="1" x14ac:dyDescent="0.2">
      <c r="C40" s="295" t="s">
        <v>91</v>
      </c>
      <c r="D40" s="272" t="s">
        <v>9</v>
      </c>
      <c r="E40" s="273"/>
      <c r="F40" s="273"/>
      <c r="G40" s="274"/>
      <c r="H40" s="153">
        <f xml:space="preserve"> IF($G$13="Y",IF($G$14="Y","-",($G$8*'Emission Factors'!E8)),"-")</f>
        <v>0.96769882333438817</v>
      </c>
      <c r="I40" s="154">
        <f>IF(H40="-","-",H40*8760/2000)</f>
        <v>4.2385208462046204</v>
      </c>
      <c r="J40" s="155">
        <f xml:space="preserve"> IF($G$13="Y",IF($G$14="Y","-",($G$8*'Emission Factors'!F8)),"-")</f>
        <v>0.45769538941491333</v>
      </c>
      <c r="K40" s="156">
        <f>IF(J40="-","-",J40*8760/2000)</f>
        <v>2.0047058056373204</v>
      </c>
      <c r="L40" s="155">
        <f xml:space="preserve"> IF($G$13="Y",IF($G$14="Y","-",($G$8*'Emission Factors'!G8)),"-")</f>
        <v>6.9308158968544017E-2</v>
      </c>
      <c r="M40" s="154">
        <f>IF(L40="-","-",L40*8760/2000)</f>
        <v>0.30356973628222278</v>
      </c>
    </row>
    <row r="41" spans="2:17" ht="17.45" customHeight="1" x14ac:dyDescent="0.2">
      <c r="C41" s="295"/>
      <c r="D41" s="292" t="s">
        <v>10</v>
      </c>
      <c r="E41" s="293"/>
      <c r="F41" s="293"/>
      <c r="G41" s="294"/>
      <c r="H41" s="157">
        <f xml:space="preserve"> IF($G$13="Y",IF($G$14="Y","-",($G$8*'Emission Factors'!E9)),"-")</f>
        <v>0.22323468827547324</v>
      </c>
      <c r="I41" s="158">
        <f>IF(H41="-","-",H41*8760/2000)</f>
        <v>0.97776793464657286</v>
      </c>
      <c r="J41" s="144">
        <f xml:space="preserve"> IF($G$13="Y",IF($G$14="Y","-",($G$8*'Emission Factors'!F9)),"-")</f>
        <v>0.10558397418434547</v>
      </c>
      <c r="K41" s="145">
        <f>IF(J41="-","-",J41*8760/2000)</f>
        <v>0.4624578069274331</v>
      </c>
      <c r="L41" s="144">
        <f xml:space="preserve"> IF($G$13="Y",IF($G$14="Y","-",($G$8*'Emission Factors'!G9)),"-")</f>
        <v>1.59884303764866E-2</v>
      </c>
      <c r="M41" s="158">
        <f>IF(L41="-","-",L41*8760/2000)</f>
        <v>7.0029325049011298E-2</v>
      </c>
    </row>
    <row r="42" spans="2:17" ht="17.45" customHeight="1" x14ac:dyDescent="0.2">
      <c r="C42" s="295"/>
      <c r="D42" s="289" t="s">
        <v>11</v>
      </c>
      <c r="E42" s="290"/>
      <c r="F42" s="290"/>
      <c r="G42" s="291"/>
      <c r="H42" s="153">
        <f xml:space="preserve"> IF($G$13="Y",IF($G$14="Y","-",($G$8*'Emission Factors'!E10)),"-")</f>
        <v>0.96769882333438817</v>
      </c>
      <c r="I42" s="154">
        <f t="shared" ref="I42:I48" si="3">IF(H42="-","-",H42*8760/2000)</f>
        <v>4.2385208462046204</v>
      </c>
      <c r="J42" s="142">
        <f xml:space="preserve"> IF($G$13="Y",IF($G$14="Y","-",($G$8*'Emission Factors'!F10)),"-")</f>
        <v>0.45769538941491333</v>
      </c>
      <c r="K42" s="143">
        <f t="shared" ref="K42:K48" si="4">IF(J42="-","-",J42*8760/2000)</f>
        <v>2.0047058056373204</v>
      </c>
      <c r="L42" s="142">
        <f xml:space="preserve"> IF($G$13="Y",IF($G$14="Y","-",($G$8*'Emission Factors'!G10)),"-")</f>
        <v>6.9308158968544017E-2</v>
      </c>
      <c r="M42" s="154">
        <f t="shared" ref="M42:M48" si="5">IF(L42="-","-",L42*8760/2000)</f>
        <v>0.30356973628222278</v>
      </c>
    </row>
    <row r="43" spans="2:17" ht="17.45" customHeight="1" x14ac:dyDescent="0.2">
      <c r="C43" s="295"/>
      <c r="D43" s="292" t="s">
        <v>12</v>
      </c>
      <c r="E43" s="293"/>
      <c r="F43" s="293"/>
      <c r="G43" s="294"/>
      <c r="H43" s="157">
        <f xml:space="preserve"> IF($G$13="Y",IF($G$14="Y","-",($G$8*'Emission Factors'!E11)),"-")</f>
        <v>0.22323468827547324</v>
      </c>
      <c r="I43" s="158">
        <f t="shared" si="3"/>
        <v>0.97776793464657286</v>
      </c>
      <c r="J43" s="144">
        <f xml:space="preserve"> IF($G$13="Y",IF($G$14="Y","-",($G$8*'Emission Factors'!F11)),"-")</f>
        <v>0.10558397418434547</v>
      </c>
      <c r="K43" s="145">
        <f t="shared" si="4"/>
        <v>0.4624578069274331</v>
      </c>
      <c r="L43" s="144">
        <f xml:space="preserve"> IF($G$13="Y",IF($G$14="Y","-",($G$8*'Emission Factors'!G11)),"-")</f>
        <v>1.59884303764866E-2</v>
      </c>
      <c r="M43" s="158">
        <f t="shared" si="5"/>
        <v>7.0029325049011298E-2</v>
      </c>
    </row>
    <row r="44" spans="2:17" ht="17.45" customHeight="1" x14ac:dyDescent="0.2">
      <c r="C44" s="295"/>
      <c r="D44" s="289" t="s">
        <v>13</v>
      </c>
      <c r="E44" s="290"/>
      <c r="F44" s="290"/>
      <c r="G44" s="291"/>
      <c r="H44" s="153">
        <f xml:space="preserve"> IF($G$13="Y",IF($G$14="Y","-",($G$8*'Emission Factors'!E12)),"-")</f>
        <v>0.96769882333438817</v>
      </c>
      <c r="I44" s="154">
        <f t="shared" si="3"/>
        <v>4.2385208462046204</v>
      </c>
      <c r="J44" s="142">
        <f xml:space="preserve"> IF($G$13="Y",IF($G$14="Y","-",($G$8*'Emission Factors'!F12)),"-")</f>
        <v>0.45769538941491333</v>
      </c>
      <c r="K44" s="143">
        <f t="shared" si="4"/>
        <v>2.0047058056373204</v>
      </c>
      <c r="L44" s="142">
        <f xml:space="preserve"> IF($G$13="Y",IF($G$14="Y","-",($G$8*'Emission Factors'!G12)),"-")</f>
        <v>6.9308158968544017E-2</v>
      </c>
      <c r="M44" s="154">
        <f t="shared" si="5"/>
        <v>0.30356973628222278</v>
      </c>
    </row>
    <row r="45" spans="2:17" ht="17.45" customHeight="1" x14ac:dyDescent="0.2">
      <c r="C45" s="295"/>
      <c r="D45" s="292" t="s">
        <v>14</v>
      </c>
      <c r="E45" s="293"/>
      <c r="F45" s="293"/>
      <c r="G45" s="294"/>
      <c r="H45" s="157">
        <f xml:space="preserve"> IF($G$13="Y",IF($G$14="Y","-",($G$8*'Emission Factors'!E13)),"-")</f>
        <v>0.22323468827547324</v>
      </c>
      <c r="I45" s="158">
        <f t="shared" si="3"/>
        <v>0.97776793464657286</v>
      </c>
      <c r="J45" s="144">
        <f xml:space="preserve"> IF($G$13="Y",IF($G$14="Y","-",($G$8*'Emission Factors'!F13)),"-")</f>
        <v>0.10558397418434547</v>
      </c>
      <c r="K45" s="145">
        <f t="shared" si="4"/>
        <v>0.4624578069274331</v>
      </c>
      <c r="L45" s="144">
        <f xml:space="preserve"> IF($G$13="Y",IF($G$14="Y","-",($G$8*'Emission Factors'!G13)),"-")</f>
        <v>1.59884303764866E-2</v>
      </c>
      <c r="M45" s="158">
        <f t="shared" si="5"/>
        <v>7.0029325049011298E-2</v>
      </c>
    </row>
    <row r="46" spans="2:17" ht="17.45" customHeight="1" x14ac:dyDescent="0.2">
      <c r="C46" s="295"/>
      <c r="D46" s="289" t="s">
        <v>15</v>
      </c>
      <c r="E46" s="290"/>
      <c r="F46" s="290"/>
      <c r="G46" s="291"/>
      <c r="H46" s="153">
        <f xml:space="preserve"> IF($G$13="Y",IF($G$14="Y","-",($G$8*'Emission Factors'!H14)),"-")</f>
        <v>3.6456750000000003E-2</v>
      </c>
      <c r="I46" s="154">
        <f t="shared" si="3"/>
        <v>0.159680565</v>
      </c>
      <c r="J46" s="142">
        <f xml:space="preserve"> IF($G$13="Y",IF($G$14="Y","-",($G$8*'Emission Factors'!I14)),"-")</f>
        <v>1.25205E-2</v>
      </c>
      <c r="K46" s="143">
        <f t="shared" si="4"/>
        <v>5.4839789999999999E-2</v>
      </c>
      <c r="L46" s="142">
        <f xml:space="preserve"> IF($G$13="Y",IF($G$14="Y","-",($G$8*'Emission Factors'!J14)),"-")</f>
        <v>1.25205E-2</v>
      </c>
      <c r="M46" s="154">
        <f t="shared" si="5"/>
        <v>5.4839789999999999E-2</v>
      </c>
    </row>
    <row r="47" spans="2:17" ht="17.45" customHeight="1" x14ac:dyDescent="0.2">
      <c r="C47" s="295"/>
      <c r="D47" s="292" t="s">
        <v>100</v>
      </c>
      <c r="E47" s="293"/>
      <c r="F47" s="293"/>
      <c r="G47" s="294"/>
      <c r="H47" s="157">
        <f xml:space="preserve"> IF($G$13="Y",IF($G$14="Y","-",IF($G$10="Y",$G$8*'Emission Factors'!H15,"-")),"-")</f>
        <v>4.8727499999999993E-2</v>
      </c>
      <c r="I47" s="158">
        <f t="shared" si="3"/>
        <v>0.21342644999999996</v>
      </c>
      <c r="J47" s="144">
        <f xml:space="preserve"> IF($G$13="Y",IF($G$14="Y","-",IF($G$10="Y",$G$8*'Emission Factors'!I15,"-")),"-")</f>
        <v>2.6827499999999997E-2</v>
      </c>
      <c r="K47" s="145">
        <f t="shared" si="4"/>
        <v>0.11750445</v>
      </c>
      <c r="L47" s="144">
        <f xml:space="preserve"> IF($G$13="Y",IF($G$14="Y","-",IF($G$10="Y",$G$8*'Emission Factors'!J15,"-")),"-")</f>
        <v>2.6827499999999997E-2</v>
      </c>
      <c r="M47" s="158">
        <f t="shared" si="5"/>
        <v>0.11750445</v>
      </c>
    </row>
    <row r="48" spans="2:17" ht="17.45" customHeight="1" x14ac:dyDescent="0.2">
      <c r="C48" s="295"/>
      <c r="D48" s="289" t="s">
        <v>16</v>
      </c>
      <c r="E48" s="290"/>
      <c r="F48" s="290"/>
      <c r="G48" s="291"/>
      <c r="H48" s="153">
        <f xml:space="preserve"> IF($G$13="Y",IF($G$14="Y","-",($G$8*'Emission Factors'!E16)),"-")</f>
        <v>1.1909335116098616</v>
      </c>
      <c r="I48" s="154">
        <f t="shared" si="3"/>
        <v>5.216288780851194</v>
      </c>
      <c r="J48" s="142">
        <f xml:space="preserve"> IF($G$13="Y",IF($G$14="Y","-",($G$8*'Emission Factors'!F16)),"-")</f>
        <v>0.56327936359925879</v>
      </c>
      <c r="K48" s="143">
        <f t="shared" si="4"/>
        <v>2.4671636125647534</v>
      </c>
      <c r="L48" s="142">
        <f xml:space="preserve"> IF($G$13="Y",IF($G$14="Y","-",($G$8*'Emission Factors'!G16)),"-")</f>
        <v>8.5296589345030649E-2</v>
      </c>
      <c r="M48" s="154">
        <f t="shared" si="5"/>
        <v>0.37359906133123422</v>
      </c>
    </row>
    <row r="49" spans="1:24" ht="17.45" customHeight="1" thickBot="1" x14ac:dyDescent="0.25">
      <c r="C49" s="295"/>
      <c r="D49" s="304" t="s">
        <v>30</v>
      </c>
      <c r="E49" s="305"/>
      <c r="F49" s="305"/>
      <c r="G49" s="306"/>
      <c r="H49" s="148">
        <f>IF('Emission Factors'!H17="-","-",'Emission Factors'!H17*Estimator!G8)</f>
        <v>0.7783199999999999</v>
      </c>
      <c r="I49" s="149">
        <f>IF(H49="-","-",H49*8760/2000)</f>
        <v>3.4090415999999997</v>
      </c>
      <c r="J49" s="148">
        <f>IF('Emission Factors'!I17="-","-",'Emission Factors'!I17*Estimator!G8)</f>
        <v>0.23264999999999997</v>
      </c>
      <c r="K49" s="159">
        <f>IF(J49="-","-",J49*8760/2000)</f>
        <v>1.0190069999999998</v>
      </c>
      <c r="L49" s="148">
        <f>IF('Emission Factors'!J17="-","-",'Emission Factors'!J17*Estimator!G8)</f>
        <v>3.807E-2</v>
      </c>
      <c r="M49" s="149">
        <f>IF(L49="-","-",L49*8760/2000)</f>
        <v>0.16674659999999999</v>
      </c>
    </row>
    <row r="50" spans="1:24" ht="17.45" customHeight="1" x14ac:dyDescent="0.2">
      <c r="D50" s="307" t="s">
        <v>31</v>
      </c>
      <c r="E50" s="307"/>
      <c r="F50" s="307"/>
      <c r="G50" s="308"/>
      <c r="H50" s="150">
        <f xml:space="preserve"> IF($G$13="Y",IF($G$14="Y","-",SUM($H$40:$H$49)),"-")</f>
        <v>5.6272382964394456</v>
      </c>
      <c r="I50" s="151">
        <f>IF(H50="-","-",H50*8760/2000)</f>
        <v>24.647303738404773</v>
      </c>
      <c r="J50" s="150">
        <f xml:space="preserve"> IF($G$13="Y",IF($G$14="Y","-",SUM($J$40:$J$49)),"-")</f>
        <v>2.5251154543970351</v>
      </c>
      <c r="K50" s="160">
        <f>IF(J50="-","-",J50*8760/2000)</f>
        <v>11.060005690259013</v>
      </c>
      <c r="L50" s="150">
        <f xml:space="preserve"> IF($G$13="Y",IF($G$14="Y","-",SUM($L$40:$L$49)),"-")</f>
        <v>0.41860435738012247</v>
      </c>
      <c r="M50" s="152">
        <f>IF(L50="-","-",L50*8760/2000)</f>
        <v>1.8334870853249365</v>
      </c>
    </row>
    <row r="51" spans="1:24" ht="17.45" customHeight="1" x14ac:dyDescent="0.2"/>
    <row r="52" spans="1:24" ht="17.45" customHeight="1" thickBot="1" x14ac:dyDescent="0.25">
      <c r="B52" s="22"/>
      <c r="C52" s="22"/>
      <c r="D52" s="22"/>
      <c r="E52" s="22"/>
      <c r="F52" s="23"/>
      <c r="G52" s="24"/>
      <c r="H52" s="23"/>
      <c r="I52" s="24"/>
      <c r="J52" s="23"/>
      <c r="K52" s="24"/>
    </row>
    <row r="53" spans="1:24" ht="17.45" customHeight="1" thickBot="1" x14ac:dyDescent="0.25">
      <c r="A53" s="313" t="s">
        <v>97</v>
      </c>
      <c r="B53" s="313"/>
      <c r="C53" s="313"/>
      <c r="E53" s="309" t="s">
        <v>5</v>
      </c>
      <c r="F53" s="310"/>
      <c r="G53" s="311"/>
      <c r="H53" s="311"/>
      <c r="I53" s="311"/>
      <c r="J53" s="312"/>
      <c r="K53" s="309" t="s">
        <v>6</v>
      </c>
      <c r="L53" s="333"/>
      <c r="M53" s="317" t="s">
        <v>112</v>
      </c>
      <c r="N53" s="310"/>
      <c r="O53" s="318"/>
      <c r="Q53" s="347" t="s">
        <v>136</v>
      </c>
      <c r="R53" s="348"/>
      <c r="S53" s="348"/>
      <c r="T53" s="348"/>
      <c r="U53" s="349"/>
    </row>
    <row r="54" spans="1:24" ht="17.45" customHeight="1" x14ac:dyDescent="0.2">
      <c r="E54" s="256" t="s">
        <v>30</v>
      </c>
      <c r="F54" s="257"/>
      <c r="G54" s="256" t="s">
        <v>27</v>
      </c>
      <c r="H54" s="257"/>
      <c r="I54" s="302" t="s">
        <v>55</v>
      </c>
      <c r="J54" s="303"/>
      <c r="K54" s="256" t="s">
        <v>30</v>
      </c>
      <c r="L54" s="257"/>
      <c r="M54" s="133" t="s">
        <v>110</v>
      </c>
      <c r="N54" s="319" t="s">
        <v>109</v>
      </c>
      <c r="O54" s="320"/>
      <c r="Q54" s="350" t="s">
        <v>5</v>
      </c>
      <c r="R54" s="351"/>
      <c r="S54" s="235"/>
      <c r="T54" s="352" t="s">
        <v>6</v>
      </c>
      <c r="U54" s="353"/>
    </row>
    <row r="55" spans="1:24" ht="17.45" customHeight="1" thickBot="1" x14ac:dyDescent="0.25">
      <c r="E55" s="19" t="s">
        <v>89</v>
      </c>
      <c r="F55" s="20" t="s">
        <v>90</v>
      </c>
      <c r="G55" s="21" t="s">
        <v>89</v>
      </c>
      <c r="H55" s="127" t="s">
        <v>90</v>
      </c>
      <c r="I55" s="19" t="s">
        <v>89</v>
      </c>
      <c r="J55" s="127" t="s">
        <v>90</v>
      </c>
      <c r="K55" s="19" t="s">
        <v>89</v>
      </c>
      <c r="L55" s="20" t="s">
        <v>90</v>
      </c>
      <c r="M55" s="134" t="s">
        <v>107</v>
      </c>
      <c r="N55" s="129" t="s">
        <v>107</v>
      </c>
      <c r="O55" s="128" t="s">
        <v>108</v>
      </c>
      <c r="Q55" s="19" t="s">
        <v>89</v>
      </c>
      <c r="R55" s="20" t="s">
        <v>90</v>
      </c>
      <c r="S55" s="236"/>
      <c r="T55" s="19" t="s">
        <v>89</v>
      </c>
      <c r="U55" s="20" t="s">
        <v>90</v>
      </c>
    </row>
    <row r="56" spans="1:24" ht="17.45" customHeight="1" thickTop="1" thickBot="1" x14ac:dyDescent="0.25">
      <c r="A56" s="295" t="s">
        <v>92</v>
      </c>
      <c r="B56" s="272" t="s">
        <v>18</v>
      </c>
      <c r="C56" s="273"/>
      <c r="D56" s="274"/>
      <c r="E56" s="225">
        <f>IF($G$13="N",IF($G$14="Y","-",IF('Emission Factors'!E25="-","-",($G$8*'Emission Factors'!E25))),IF($G$14="N",IF('Emission Factors'!E25="-","-",$G$8*'Emission Factors'!E25),IF('Emission Factors'!E26="-","-",$G$8*'Emission Factors'!E26)))</f>
        <v>3.5447399999999991E-4</v>
      </c>
      <c r="F56" s="161">
        <f>IF(E56="-","-",E56*8760/2000)</f>
        <v>1.5525961199999996E-3</v>
      </c>
      <c r="G56" s="162">
        <f>$G$8*'Emission Factors'!E23</f>
        <v>1.5613799999999999E-7</v>
      </c>
      <c r="H56" s="163">
        <f>IF(G56="-","-",G56*8760/2000)</f>
        <v>6.8388443999999991E-7</v>
      </c>
      <c r="I56" s="162">
        <f>IF('Emission Factors'!E24="-","-",$G$8*'Emission Factors'!E24)</f>
        <v>5.4749999999999992E-6</v>
      </c>
      <c r="J56" s="164">
        <f>IF(I56="-","-",I56*8760/2000)</f>
        <v>2.3980499999999999E-5</v>
      </c>
      <c r="K56" s="228">
        <f xml:space="preserve"> IF($G$13="Y",IF($G$14="Y","-",IF('Emission Factors'!E26="-","-",($G$8*'Emission Factors'!E26))),"-")</f>
        <v>1.2520799999999999E-5</v>
      </c>
      <c r="L56" s="161">
        <f>IF(K56="-","-",K56*8760/2000)</f>
        <v>5.4841103999999997E-5</v>
      </c>
      <c r="M56" s="248">
        <f>(SUM(G56,I56,IF(K56="-",E56,K56))*24)</f>
        <v>4.3564651199999994E-4</v>
      </c>
      <c r="N56" s="155">
        <v>1.2E-2</v>
      </c>
      <c r="O56" s="165" t="str">
        <f>IF(M56&gt;N56,IF(AND(ROUND(N56,3)=0,ROUND(M56,3)=0),"Yes","NO"),"Yes")</f>
        <v>Yes</v>
      </c>
      <c r="Q56" s="237">
        <f>SUM(G56,I56,E56)</f>
        <v>3.6010513799999993E-4</v>
      </c>
      <c r="R56" s="238">
        <f>Q56*8760/2000</f>
        <v>1.5772605044399996E-3</v>
      </c>
      <c r="S56" s="239"/>
      <c r="T56" s="238">
        <f>SUM(G56,I56,K56)</f>
        <v>1.8151937999999999E-5</v>
      </c>
      <c r="U56" s="240">
        <f>T56*8760/2000</f>
        <v>7.9505488439999999E-5</v>
      </c>
      <c r="V56" s="246"/>
      <c r="W56" s="246"/>
      <c r="X56" s="246"/>
    </row>
    <row r="57" spans="1:24" ht="17.45" customHeight="1" thickTop="1" thickBot="1" x14ac:dyDescent="0.25">
      <c r="A57" s="295"/>
      <c r="B57" s="292" t="s">
        <v>19</v>
      </c>
      <c r="C57" s="293"/>
      <c r="D57" s="294"/>
      <c r="E57" s="166" t="str">
        <f xml:space="preserve"> IF(D75=1,IF($G$13="N",IF($G$14="Y","-",($G$8*'Emission Factors'!F25)),IF($G$14="N",$G$8*'Emission Factors'!F25,'Emission Factors'!F26*$G$8)),"-")</f>
        <v>-</v>
      </c>
      <c r="F57" s="167" t="str">
        <f>IF(E57="-","-",E57*8760/2000)</f>
        <v>-</v>
      </c>
      <c r="G57" s="168">
        <f>$G$8*'Emission Factors'!F23</f>
        <v>1.7896949999999999E-8</v>
      </c>
      <c r="H57" s="169">
        <f>IF(G57="-","-",G57*8760/2000)</f>
        <v>7.8388640999999996E-8</v>
      </c>
      <c r="I57" s="168">
        <f>IF('Emission Factors'!F24="-","-",$G$8*'Emission Factors'!F24)</f>
        <v>4.9493999999999996E-7</v>
      </c>
      <c r="J57" s="169">
        <f>IF(I57="-","-",I57*8760/2000)</f>
        <v>2.1678371999999997E-6</v>
      </c>
      <c r="K57" s="168" t="str">
        <f xml:space="preserve"> IF(D75=1,IF($G$13="Y",IF($G$14="Y","-",($G$8*'Emission Factors'!F26)),"-"), "-")</f>
        <v>-</v>
      </c>
      <c r="L57" s="167" t="str">
        <f>IF(K57="-","-",K57*8760/2000)</f>
        <v>-</v>
      </c>
      <c r="M57" s="248">
        <f>(SUM(G57,I57,IF(K57="-",E57,K57))*24)</f>
        <v>1.2308086799999999E-5</v>
      </c>
      <c r="N57" s="144">
        <v>0</v>
      </c>
      <c r="O57" s="170" t="str">
        <f t="shared" ref="O57:O64" si="6">IF(M57&gt;N57,IF(AND(ROUND(N57,3)=0,ROUND(M57,3)=0),"Yes","NO"),"Yes")</f>
        <v>Yes</v>
      </c>
      <c r="Q57" s="237">
        <f t="shared" ref="Q57:Q64" si="7">SUM(G57,I57,E57)</f>
        <v>5.1283694999999998E-7</v>
      </c>
      <c r="R57" s="241">
        <f t="shared" ref="R57:R64" si="8">Q57*8760/2000</f>
        <v>2.2462258409999998E-6</v>
      </c>
      <c r="S57" s="239"/>
      <c r="T57" s="238">
        <f t="shared" ref="T57:T64" si="9">SUM(G57,I57,K57)</f>
        <v>5.1283694999999998E-7</v>
      </c>
      <c r="U57" s="242">
        <f t="shared" ref="U57:U64" si="10">T57*8760/2000</f>
        <v>2.2462258409999998E-6</v>
      </c>
      <c r="V57" s="246"/>
    </row>
    <row r="58" spans="1:24" ht="17.45" customHeight="1" thickTop="1" thickBot="1" x14ac:dyDescent="0.25">
      <c r="A58" s="295"/>
      <c r="B58" s="289" t="s">
        <v>20</v>
      </c>
      <c r="C58" s="290"/>
      <c r="D58" s="291"/>
      <c r="E58" s="226">
        <f>IF($G$13="N",IF($G$14="Y","-",IF('Emission Factors'!G25="-","-",($G$8*'Emission Factors'!G25))),IF($G$14="N",IF('Emission Factors'!G25="-","-",$G$8*'Emission Factors'!G25),IF('Emission Factors'!G26="-","-",$G$8*'Emission Factors'!G26)))</f>
        <v>4.9913999999999996E-7</v>
      </c>
      <c r="F58" s="171">
        <f t="shared" ref="F58:F64" si="11">IF(E58="-","-",E58*8760/2000)</f>
        <v>2.1862331999999997E-6</v>
      </c>
      <c r="G58" s="172" t="s">
        <v>28</v>
      </c>
      <c r="H58" s="173" t="str">
        <f t="shared" ref="H58:H64" si="12">IF(G58="-","-",G58*8760/2000)</f>
        <v>-</v>
      </c>
      <c r="I58" s="172">
        <f>IF('Emission Factors'!G24="-","-",$G$8*'Emission Factors'!G24)</f>
        <v>1.0840499999999998E-9</v>
      </c>
      <c r="J58" s="173">
        <f t="shared" ref="J58:J64" si="13">IF(I58="-","-",I58*8760/2000)</f>
        <v>4.7481389999999985E-9</v>
      </c>
      <c r="K58" s="229">
        <f xml:space="preserve"> IF($G$13="Y",IF($G$14="Y","-",IF('Emission Factors'!G26="-","-",($G$8*'Emission Factors'!G26))),"-")</f>
        <v>3.0032999999999995E-8</v>
      </c>
      <c r="L58" s="171">
        <f t="shared" ref="L58:L64" si="14">IF(K58="-","-",K58*8760/2000)</f>
        <v>1.3154453999999998E-7</v>
      </c>
      <c r="M58" s="248">
        <f>(SUM(G58,I58,IF(K58="-",E58,K58))*24)</f>
        <v>7.4680919999999991E-7</v>
      </c>
      <c r="N58" s="142">
        <v>3.0000000000000001E-3</v>
      </c>
      <c r="O58" s="174" t="str">
        <f t="shared" si="6"/>
        <v>Yes</v>
      </c>
      <c r="Q58" s="237">
        <f t="shared" si="7"/>
        <v>5.0022404999999999E-7</v>
      </c>
      <c r="R58" s="238">
        <f t="shared" si="8"/>
        <v>2.1909813389999996E-6</v>
      </c>
      <c r="S58" s="239"/>
      <c r="T58" s="238">
        <f t="shared" si="9"/>
        <v>3.1117049999999996E-8</v>
      </c>
      <c r="U58" s="240">
        <f t="shared" si="10"/>
        <v>1.3629267899999999E-7</v>
      </c>
    </row>
    <row r="59" spans="1:24" ht="17.45" customHeight="1" thickTop="1" x14ac:dyDescent="0.2">
      <c r="A59" s="295"/>
      <c r="B59" s="292" t="s">
        <v>21</v>
      </c>
      <c r="C59" s="293"/>
      <c r="D59" s="294"/>
      <c r="E59" s="226">
        <f>IF($G$13="N",IF($G$14="Y","-",IF('Emission Factors'!H25="-","-",($G$8*'Emission Factors'!H25))),IF($G$14="N",IF('Emission Factors'!H25="-","-",$G$8*'Emission Factors'!H25),IF('Emission Factors'!H26="-","-",$G$8*'Emission Factors'!H26)))</f>
        <v>6.006599999999999E-5</v>
      </c>
      <c r="F59" s="167">
        <f t="shared" si="11"/>
        <v>2.6308907999999999E-4</v>
      </c>
      <c r="G59" s="168">
        <f>$G$8*'Emission Factors'!H23</f>
        <v>1.067925E-6</v>
      </c>
      <c r="H59" s="169">
        <f t="shared" si="12"/>
        <v>4.6775115000000003E-6</v>
      </c>
      <c r="I59" s="168">
        <f>IF('Emission Factors'!H24="-","-",$G$8*'Emission Factors'!H24)</f>
        <v>6.6794999999999993E-6</v>
      </c>
      <c r="J59" s="169">
        <f t="shared" si="13"/>
        <v>2.9256209999999997E-5</v>
      </c>
      <c r="K59" s="229">
        <f xml:space="preserve"> IF($G$13="Y",IF($G$14="Y","-",IF('Emission Factors'!H26="-","-",($G$8*'Emission Factors'!H26))),"-")</f>
        <v>5.3720999999999998E-6</v>
      </c>
      <c r="L59" s="167">
        <f t="shared" si="14"/>
        <v>2.3529797999999997E-5</v>
      </c>
      <c r="M59" s="248">
        <f>(SUM(G59,I59,IF(K59="-",E59,K59))*24)</f>
        <v>3.1486860000000004E-4</v>
      </c>
      <c r="N59" s="144">
        <v>0.03</v>
      </c>
      <c r="O59" s="170" t="str">
        <f t="shared" si="6"/>
        <v>Yes</v>
      </c>
      <c r="Q59" s="237">
        <f t="shared" si="7"/>
        <v>6.7813424999999992E-5</v>
      </c>
      <c r="R59" s="241">
        <f t="shared" si="8"/>
        <v>2.9702280149999997E-4</v>
      </c>
      <c r="S59" s="239"/>
      <c r="T59" s="238">
        <f t="shared" si="9"/>
        <v>1.3119525E-5</v>
      </c>
      <c r="U59" s="242">
        <f t="shared" si="10"/>
        <v>5.7463519500000006E-5</v>
      </c>
    </row>
    <row r="60" spans="1:24" ht="17.45" customHeight="1" x14ac:dyDescent="0.2">
      <c r="A60" s="295"/>
      <c r="B60" s="289" t="s">
        <v>22</v>
      </c>
      <c r="C60" s="290"/>
      <c r="D60" s="291"/>
      <c r="E60" s="226">
        <f>IF($G$13="N",IF($G$14="Y","-",IF('Emission Factors'!I25="-","-",($G$8*'Emission Factors'!I25))),IF($G$14="N",IF('Emission Factors'!I25="-","-",$G$8*'Emission Factors'!I25),IF('Emission Factors'!I26="-","-",$G$8*'Emission Factors'!I26)))</f>
        <v>1.6158599999999998E-5</v>
      </c>
      <c r="F60" s="171">
        <f t="shared" si="11"/>
        <v>7.0774667999999984E-5</v>
      </c>
      <c r="G60" s="172">
        <f>$G$8*'Emission Factors'!I23</f>
        <v>4.0139249999999999E-7</v>
      </c>
      <c r="H60" s="173">
        <f t="shared" si="12"/>
        <v>1.75809915E-6</v>
      </c>
      <c r="I60" s="172">
        <f>IF('Emission Factors'!I24="-","-",$G$8*'Emission Factors'!I24)</f>
        <v>2.8469999999999996E-6</v>
      </c>
      <c r="J60" s="173">
        <f t="shared" si="13"/>
        <v>1.2469859999999998E-5</v>
      </c>
      <c r="K60" s="229">
        <f xml:space="preserve"> IF($G$13="Y",IF($G$14="Y","-",IF('Emission Factors'!I26="-","-",($G$8*'Emission Factors'!I26))),"-")</f>
        <v>1.5481799999999997E-6</v>
      </c>
      <c r="L60" s="171">
        <f t="shared" si="14"/>
        <v>6.7810283999999988E-6</v>
      </c>
      <c r="M60" s="247"/>
      <c r="N60" s="175" t="s">
        <v>28</v>
      </c>
      <c r="O60" s="176" t="s">
        <v>28</v>
      </c>
      <c r="Q60" s="237">
        <f t="shared" si="7"/>
        <v>1.9406992499999998E-5</v>
      </c>
      <c r="R60" s="238">
        <f t="shared" si="8"/>
        <v>8.5002627149999993E-5</v>
      </c>
      <c r="S60" s="239"/>
      <c r="T60" s="238">
        <f t="shared" si="9"/>
        <v>4.7965724999999989E-6</v>
      </c>
      <c r="U60" s="240">
        <f t="shared" si="10"/>
        <v>2.1008987549999996E-5</v>
      </c>
    </row>
    <row r="61" spans="1:24" ht="17.45" customHeight="1" x14ac:dyDescent="0.2">
      <c r="A61" s="295"/>
      <c r="B61" s="292" t="s">
        <v>23</v>
      </c>
      <c r="C61" s="293"/>
      <c r="D61" s="294"/>
      <c r="E61" s="226">
        <f>IF($G$13="N",IF($G$14="Y","-",IF('Emission Factors'!J25="-","-",($G$8*'Emission Factors'!J25))),IF($G$14="N",IF('Emission Factors'!J25="-","-",$G$8*'Emission Factors'!J25),IF('Emission Factors'!J26="-","-",$G$8*'Emission Factors'!J26)))</f>
        <v>2.5887599999999994E-3</v>
      </c>
      <c r="F61" s="167">
        <f t="shared" si="11"/>
        <v>1.1338768799999998E-2</v>
      </c>
      <c r="G61" s="168">
        <f>$G$8*'Emission Factors'!J23</f>
        <v>4.3085249999999995E-6</v>
      </c>
      <c r="H61" s="169">
        <f t="shared" si="12"/>
        <v>1.8871339499999998E-5</v>
      </c>
      <c r="I61" s="168">
        <f>IF('Emission Factors'!J24="-","-",$G$8*'Emission Factors'!J24)</f>
        <v>1.4016000000000001E-6</v>
      </c>
      <c r="J61" s="169">
        <f t="shared" si="13"/>
        <v>6.1390080000000002E-6</v>
      </c>
      <c r="K61" s="229">
        <f xml:space="preserve"> IF($G$13="Y",IF($G$14="Y","-",IF('Emission Factors'!J26="-","-",($G$8*'Emission Factors'!J26))),"-")</f>
        <v>1.5989399999999997E-4</v>
      </c>
      <c r="L61" s="167">
        <f t="shared" si="14"/>
        <v>7.003357199999999E-4</v>
      </c>
      <c r="M61" s="249">
        <f>(SUM(G61,I61,IF(K61="-",E61,K61))*24)</f>
        <v>3.9744989999999994E-3</v>
      </c>
      <c r="N61" s="144">
        <v>0.3</v>
      </c>
      <c r="O61" s="170" t="str">
        <f t="shared" si="6"/>
        <v>Yes</v>
      </c>
      <c r="Q61" s="237">
        <f t="shared" si="7"/>
        <v>2.5944701249999993E-3</v>
      </c>
      <c r="R61" s="241">
        <f t="shared" si="8"/>
        <v>1.1363779147499998E-2</v>
      </c>
      <c r="S61" s="239"/>
      <c r="T61" s="238">
        <f t="shared" si="9"/>
        <v>1.6560412499999996E-4</v>
      </c>
      <c r="U61" s="242">
        <f t="shared" si="10"/>
        <v>7.2534606749999982E-4</v>
      </c>
    </row>
    <row r="62" spans="1:24" ht="17.45" customHeight="1" x14ac:dyDescent="0.2">
      <c r="A62" s="295"/>
      <c r="B62" s="289" t="s">
        <v>24</v>
      </c>
      <c r="C62" s="290"/>
      <c r="D62" s="291"/>
      <c r="E62" s="226">
        <f>IF($G$13="N",IF($G$14="Y","-",IF('Emission Factors'!K25="-","-",($G$8*'Emission Factors'!K25))),IF($G$14="N",IF('Emission Factors'!K25="-","-",$G$8*'Emission Factors'!K25),IF('Emission Factors'!K26="-","-",$G$8*'Emission Factors'!K26)))</f>
        <v>1.3874399999999997E-4</v>
      </c>
      <c r="F62" s="171">
        <f t="shared" si="11"/>
        <v>6.0769871999999988E-4</v>
      </c>
      <c r="G62" s="172">
        <f>$G$8*'Emission Factors'!K23</f>
        <v>1.5392849999999998E-6</v>
      </c>
      <c r="H62" s="173">
        <f t="shared" si="12"/>
        <v>6.7420682999999991E-6</v>
      </c>
      <c r="I62" s="172">
        <f>IF('Emission Factors'!K24="-","-",$G$8*'Emission Factors'!K24)</f>
        <v>1.2483000000000001E-5</v>
      </c>
      <c r="J62" s="173">
        <f t="shared" si="13"/>
        <v>5.4675540000000005E-5</v>
      </c>
      <c r="K62" s="229">
        <f xml:space="preserve"> IF($G$13="Y",IF($G$14="Y","-",IF('Emission Factors'!K26="-","-",($G$8*'Emission Factors'!K26))),"-")</f>
        <v>1.04904E-5</v>
      </c>
      <c r="L62" s="171">
        <f t="shared" si="14"/>
        <v>4.5947952000000003E-5</v>
      </c>
      <c r="M62" s="249">
        <f>(SUM(G62,I62,IF(K62="-",E62,K62))*24)</f>
        <v>5.8830443999999997E-4</v>
      </c>
      <c r="N62" s="142">
        <v>6.0000000000000001E-3</v>
      </c>
      <c r="O62" s="174" t="str">
        <f t="shared" si="6"/>
        <v>Yes</v>
      </c>
      <c r="Q62" s="237">
        <f t="shared" si="7"/>
        <v>1.5276628499999998E-4</v>
      </c>
      <c r="R62" s="238">
        <f t="shared" si="8"/>
        <v>6.6911632829999991E-4</v>
      </c>
      <c r="S62" s="239"/>
      <c r="T62" s="238">
        <f t="shared" si="9"/>
        <v>2.4512684999999999E-5</v>
      </c>
      <c r="U62" s="240">
        <f t="shared" si="10"/>
        <v>1.073655603E-4</v>
      </c>
    </row>
    <row r="63" spans="1:24" ht="17.45" customHeight="1" x14ac:dyDescent="0.2">
      <c r="A63" s="295"/>
      <c r="B63" s="292" t="s">
        <v>25</v>
      </c>
      <c r="C63" s="293"/>
      <c r="D63" s="294"/>
      <c r="E63" s="226">
        <f>IF($G$13="N",IF($G$14="Y","-",IF('Emission Factors'!L25="-","-",($G$8*'Emission Factors'!L25))),IF($G$14="N",IF('Emission Factors'!L25="-","-",$G$8*'Emission Factors'!L25),IF('Emission Factors'!L26="-","-",$G$8*'Emission Factors'!L26)))</f>
        <v>8.5445999999999992E-4</v>
      </c>
      <c r="F63" s="167">
        <f t="shared" si="11"/>
        <v>3.7425347999999995E-3</v>
      </c>
      <c r="G63" s="168" t="s">
        <v>28</v>
      </c>
      <c r="H63" s="169" t="str">
        <f t="shared" si="12"/>
        <v>-</v>
      </c>
      <c r="I63" s="168">
        <f>IF('Emission Factors'!L24="-","-",$G$8*'Emission Factors'!L24)</f>
        <v>1.9381500000000001E-5</v>
      </c>
      <c r="J63" s="169">
        <f t="shared" si="13"/>
        <v>8.4890969999999995E-5</v>
      </c>
      <c r="K63" s="229">
        <f xml:space="preserve"> IF($G$13="Y",IF($G$14="Y","-",IF('Emission Factors'!L26="-","-",($G$8*'Emission Factors'!L26))),"-")</f>
        <v>5.0759999999999995E-5</v>
      </c>
      <c r="L63" s="167">
        <f t="shared" si="14"/>
        <v>2.2232879999999996E-4</v>
      </c>
      <c r="M63" s="249">
        <f>(SUM(G63,I63,IF(K63="-",E63,K63))*24)</f>
        <v>1.683396E-3</v>
      </c>
      <c r="N63" s="144">
        <v>6.0000000000000001E-3</v>
      </c>
      <c r="O63" s="170" t="str">
        <f t="shared" si="6"/>
        <v>Yes</v>
      </c>
      <c r="Q63" s="237">
        <f t="shared" si="7"/>
        <v>8.7384149999999994E-4</v>
      </c>
      <c r="R63" s="241">
        <f t="shared" si="8"/>
        <v>3.8274257699999997E-3</v>
      </c>
      <c r="S63" s="239"/>
      <c r="T63" s="238">
        <f t="shared" si="9"/>
        <v>7.0141499999999999E-5</v>
      </c>
      <c r="U63" s="242">
        <f t="shared" si="10"/>
        <v>3.0721977000000003E-4</v>
      </c>
    </row>
    <row r="64" spans="1:24" ht="17.45" customHeight="1" thickBot="1" x14ac:dyDescent="0.25">
      <c r="A64" s="295"/>
      <c r="B64" s="314" t="s">
        <v>26</v>
      </c>
      <c r="C64" s="315"/>
      <c r="D64" s="316"/>
      <c r="E64" s="227" t="str">
        <f xml:space="preserve"> IF(D75=1,IF($G$13="N",IF($G$14="Y","-",($G$8*'Emission Factors'!M25)),IF($G$14="N",$G$8*'Emission Factors'!M25,'Emission Factors'!M26*$G$8)),"-")</f>
        <v>-</v>
      </c>
      <c r="F64" s="177" t="str">
        <f t="shared" si="11"/>
        <v>-</v>
      </c>
      <c r="G64" s="178" t="s">
        <v>28</v>
      </c>
      <c r="H64" s="179" t="str">
        <f t="shared" si="12"/>
        <v>-</v>
      </c>
      <c r="I64" s="178">
        <f>IF('Emission Factors'!M24="-","-",$G$8*'Emission Factors'!M24)</f>
        <v>3.9639000000000002E-7</v>
      </c>
      <c r="J64" s="179">
        <f t="shared" si="13"/>
        <v>1.7361882000000002E-6</v>
      </c>
      <c r="K64" s="230" t="str">
        <f xml:space="preserve"> IF(D75=1,IF($G$13="Y",IF($G$14="Y","-",($G$8*'Emission Factors'!M26)),"-"), "-")</f>
        <v>-</v>
      </c>
      <c r="L64" s="177" t="str">
        <f t="shared" si="14"/>
        <v>-</v>
      </c>
      <c r="M64" s="250">
        <f>(SUM(G64,I64,IF(K64="-",E64,K64))*24)</f>
        <v>9.51336E-6</v>
      </c>
      <c r="N64" s="180">
        <v>1.2E-2</v>
      </c>
      <c r="O64" s="181" t="str">
        <f t="shared" si="6"/>
        <v>Yes</v>
      </c>
      <c r="Q64" s="237">
        <f t="shared" si="7"/>
        <v>3.9639000000000002E-7</v>
      </c>
      <c r="R64" s="243">
        <f t="shared" si="8"/>
        <v>1.7361882000000002E-6</v>
      </c>
      <c r="S64" s="244"/>
      <c r="T64" s="238">
        <f t="shared" si="9"/>
        <v>3.9639000000000002E-7</v>
      </c>
      <c r="U64" s="245">
        <f t="shared" si="10"/>
        <v>1.7361882000000002E-6</v>
      </c>
    </row>
    <row r="65" spans="2:13" ht="17.45" customHeight="1" x14ac:dyDescent="0.2">
      <c r="B65" s="136" t="s">
        <v>114</v>
      </c>
      <c r="C65" s="130" t="s">
        <v>115</v>
      </c>
      <c r="M65" s="246"/>
    </row>
    <row r="66" spans="2:13" ht="17.45" customHeight="1" x14ac:dyDescent="0.2">
      <c r="C66" s="135" t="s">
        <v>119</v>
      </c>
      <c r="D66" s="22"/>
      <c r="E66" s="22"/>
      <c r="F66" s="23"/>
      <c r="G66" s="24"/>
      <c r="H66" s="23"/>
      <c r="I66" s="24"/>
      <c r="J66" s="23"/>
      <c r="K66" s="24"/>
      <c r="L66" s="246"/>
      <c r="M66" s="246"/>
    </row>
    <row r="67" spans="2:13" ht="17.45" customHeight="1" x14ac:dyDescent="0.2">
      <c r="B67" s="22"/>
      <c r="C67" s="25" t="s">
        <v>120</v>
      </c>
      <c r="D67" s="22"/>
      <c r="E67" s="22"/>
      <c r="F67" s="23"/>
      <c r="G67" s="24"/>
      <c r="H67" s="23"/>
      <c r="I67" s="24"/>
      <c r="J67" s="23"/>
      <c r="K67" s="24"/>
    </row>
    <row r="68" spans="2:13" ht="17.45" customHeight="1" x14ac:dyDescent="0.2">
      <c r="B68" s="22"/>
      <c r="C68" s="25" t="s">
        <v>113</v>
      </c>
    </row>
    <row r="70" spans="2:13" ht="13.5" thickBot="1" x14ac:dyDescent="0.25"/>
    <row r="71" spans="2:13" x14ac:dyDescent="0.2">
      <c r="D71" s="208" t="s">
        <v>0</v>
      </c>
      <c r="E71" s="131"/>
      <c r="F71" s="209"/>
    </row>
    <row r="72" spans="2:13" x14ac:dyDescent="0.2">
      <c r="D72" s="125" t="s">
        <v>3</v>
      </c>
      <c r="E72" s="344" t="s">
        <v>1</v>
      </c>
      <c r="F72" s="124"/>
    </row>
    <row r="73" spans="2:13" x14ac:dyDescent="0.2">
      <c r="D73" s="125" t="s">
        <v>4</v>
      </c>
      <c r="E73" s="344"/>
      <c r="F73" s="124"/>
    </row>
    <row r="74" spans="2:13" x14ac:dyDescent="0.2">
      <c r="D74" s="125" t="s">
        <v>130</v>
      </c>
      <c r="E74" s="344"/>
      <c r="F74" s="124"/>
    </row>
    <row r="75" spans="2:13" ht="13.5" thickBot="1" x14ac:dyDescent="0.25">
      <c r="D75" s="210">
        <v>2</v>
      </c>
      <c r="E75" s="211" t="s">
        <v>2</v>
      </c>
      <c r="F75" s="212"/>
    </row>
  </sheetData>
  <mergeCells count="81">
    <mergeCell ref="E72:E74"/>
    <mergeCell ref="N31:S32"/>
    <mergeCell ref="Q53:U53"/>
    <mergeCell ref="Q54:R54"/>
    <mergeCell ref="T54:U54"/>
    <mergeCell ref="H14:I14"/>
    <mergeCell ref="L19:M20"/>
    <mergeCell ref="D26:G26"/>
    <mergeCell ref="D24:G24"/>
    <mergeCell ref="D25:G25"/>
    <mergeCell ref="L16:O16"/>
    <mergeCell ref="H19:I20"/>
    <mergeCell ref="J19:K20"/>
    <mergeCell ref="C19:E19"/>
    <mergeCell ref="E15:G16"/>
    <mergeCell ref="H8:O8"/>
    <mergeCell ref="H11:I11"/>
    <mergeCell ref="M53:O53"/>
    <mergeCell ref="N54:O54"/>
    <mergeCell ref="L14:O15"/>
    <mergeCell ref="H12:I12"/>
    <mergeCell ref="H13:I13"/>
    <mergeCell ref="H16:I16"/>
    <mergeCell ref="H15:I15"/>
    <mergeCell ref="L37:M38"/>
    <mergeCell ref="K54:L54"/>
    <mergeCell ref="K53:L53"/>
    <mergeCell ref="D50:G50"/>
    <mergeCell ref="B57:D57"/>
    <mergeCell ref="D49:G49"/>
    <mergeCell ref="A53:C53"/>
    <mergeCell ref="E54:F54"/>
    <mergeCell ref="A56:A64"/>
    <mergeCell ref="B59:D59"/>
    <mergeCell ref="B62:D62"/>
    <mergeCell ref="B63:D63"/>
    <mergeCell ref="B64:D64"/>
    <mergeCell ref="B60:D60"/>
    <mergeCell ref="B61:D61"/>
    <mergeCell ref="H37:I38"/>
    <mergeCell ref="D28:G28"/>
    <mergeCell ref="D29:G29"/>
    <mergeCell ref="I54:J54"/>
    <mergeCell ref="D30:G30"/>
    <mergeCell ref="D31:G31"/>
    <mergeCell ref="D32:G32"/>
    <mergeCell ref="E53:J53"/>
    <mergeCell ref="D48:G48"/>
    <mergeCell ref="D44:G44"/>
    <mergeCell ref="J37:K38"/>
    <mergeCell ref="D46:G46"/>
    <mergeCell ref="D47:G47"/>
    <mergeCell ref="D43:G43"/>
    <mergeCell ref="C37:E37"/>
    <mergeCell ref="C40:C49"/>
    <mergeCell ref="B58:D58"/>
    <mergeCell ref="D41:G41"/>
    <mergeCell ref="D42:G42"/>
    <mergeCell ref="C22:C31"/>
    <mergeCell ref="D45:G45"/>
    <mergeCell ref="D22:G22"/>
    <mergeCell ref="D23:G23"/>
    <mergeCell ref="C33:M34"/>
    <mergeCell ref="B56:D56"/>
    <mergeCell ref="D27:G27"/>
    <mergeCell ref="E7:F7"/>
    <mergeCell ref="G10:G11"/>
    <mergeCell ref="E14:F14"/>
    <mergeCell ref="E13:F13"/>
    <mergeCell ref="G8:G9"/>
    <mergeCell ref="A11:D11"/>
    <mergeCell ref="G54:H54"/>
    <mergeCell ref="A1:O1"/>
    <mergeCell ref="E10:F11"/>
    <mergeCell ref="E9:F9"/>
    <mergeCell ref="E8:F8"/>
    <mergeCell ref="A2:O2"/>
    <mergeCell ref="A12:D16"/>
    <mergeCell ref="D40:G40"/>
    <mergeCell ref="H7:O7"/>
    <mergeCell ref="A3:O4"/>
  </mergeCells>
  <phoneticPr fontId="2" type="noConversion"/>
  <printOptions horizontalCentered="1" verticalCentered="1"/>
  <pageMargins left="0.25" right="0.25" top="0.5" bottom="0.5" header="0.5" footer="0.5"/>
  <pageSetup scale="61" orientation="portrait" r:id="rId1"/>
  <headerFooter alignWithMargins="0">
    <oddHeader>&amp;R&amp;D</oddHeader>
  </headerFooter>
  <cellWatches>
    <cellWatch r="J31"/>
  </cellWatches>
  <ignoredErrors>
    <ignoredError sqref="J28 L26:L28 J26:J27 J29:J31 I29:I31 J22:J25 K30 K29:L29 M29:M30 L31:M31 J40:J49 L40:L49 L22:L25" formula="1"/>
    <ignoredError sqref="I32" evalError="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6</xdr:col>
                    <xdr:colOff>0</xdr:colOff>
                    <xdr:row>6</xdr:row>
                    <xdr:rowOff>9525</xdr:rowOff>
                  </from>
                  <to>
                    <xdr:col>7</xdr:col>
                    <xdr:colOff>76200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1884-CD86-4368-B0B5-F39292CB27EF}">
  <sheetPr>
    <tabColor indexed="8"/>
    <pageSetUpPr fitToPage="1"/>
  </sheetPr>
  <dimension ref="A1:U68"/>
  <sheetViews>
    <sheetView tabSelected="1" topLeftCell="A27" zoomScaleNormal="100" workbookViewId="0">
      <selection activeCell="D62" sqref="D62"/>
    </sheetView>
  </sheetViews>
  <sheetFormatPr defaultRowHeight="12.75" x14ac:dyDescent="0.2"/>
  <cols>
    <col min="1" max="2" width="5.7109375" customWidth="1"/>
    <col min="3" max="4" width="20.7109375" customWidth="1"/>
    <col min="5" max="5" width="10.42578125" customWidth="1"/>
    <col min="6" max="7" width="9.85546875" bestFit="1" customWidth="1"/>
    <col min="8" max="8" width="12.140625" bestFit="1" customWidth="1"/>
    <col min="9" max="10" width="13.42578125" bestFit="1" customWidth="1"/>
    <col min="11" max="11" width="9.85546875" bestFit="1" customWidth="1"/>
    <col min="12" max="12" width="15.7109375" bestFit="1" customWidth="1"/>
    <col min="13" max="13" width="9.85546875" bestFit="1" customWidth="1"/>
  </cols>
  <sheetData>
    <row r="1" spans="1:21" ht="21" x14ac:dyDescent="0.35">
      <c r="A1" s="258" t="s">
        <v>93</v>
      </c>
      <c r="B1" s="258"/>
      <c r="C1" s="258"/>
      <c r="D1" s="258"/>
      <c r="E1" s="258"/>
      <c r="F1" s="258"/>
      <c r="G1" s="258"/>
      <c r="H1" s="258"/>
      <c r="I1" s="258"/>
      <c r="J1" s="258"/>
      <c r="K1" s="258"/>
      <c r="L1" s="258"/>
      <c r="M1" s="258"/>
      <c r="N1" s="119"/>
      <c r="O1" s="119"/>
    </row>
    <row r="2" spans="1:21" x14ac:dyDescent="0.2">
      <c r="A2" s="354">
        <v>42138</v>
      </c>
      <c r="B2" s="354"/>
      <c r="C2" s="354"/>
      <c r="D2" s="354"/>
      <c r="E2" s="354"/>
      <c r="F2" s="354"/>
      <c r="G2" s="354"/>
      <c r="H2" s="354"/>
      <c r="I2" s="354"/>
      <c r="J2" s="354"/>
      <c r="K2" s="354"/>
      <c r="L2" s="354"/>
      <c r="M2" s="354"/>
      <c r="N2" s="120"/>
      <c r="O2" s="120"/>
    </row>
    <row r="3" spans="1:21" ht="27" customHeight="1" x14ac:dyDescent="0.2">
      <c r="A3" s="360" t="s">
        <v>74</v>
      </c>
      <c r="B3" s="360"/>
      <c r="C3" s="360"/>
      <c r="D3" s="360"/>
      <c r="E3" s="360"/>
      <c r="F3" s="360"/>
      <c r="G3" s="360"/>
      <c r="H3" s="360"/>
      <c r="I3" s="360"/>
      <c r="J3" s="360"/>
      <c r="K3" s="360"/>
      <c r="L3" s="360"/>
      <c r="M3" s="360"/>
      <c r="N3" s="118"/>
      <c r="O3" s="118"/>
    </row>
    <row r="4" spans="1:21" s="12" customFormat="1" ht="13.5" customHeight="1" x14ac:dyDescent="0.2">
      <c r="A4" s="121"/>
      <c r="B4" s="121"/>
      <c r="C4" s="121"/>
      <c r="D4" s="121"/>
      <c r="E4" s="121"/>
      <c r="F4" s="121"/>
      <c r="G4" s="121"/>
      <c r="H4" s="121"/>
      <c r="I4" s="121"/>
      <c r="J4" s="121"/>
      <c r="K4" s="121"/>
      <c r="L4" s="121"/>
      <c r="M4" s="121"/>
      <c r="N4" s="118"/>
      <c r="O4" s="118"/>
    </row>
    <row r="5" spans="1:21" ht="13.5" customHeight="1" thickBot="1" x14ac:dyDescent="0.25">
      <c r="D5" s="45"/>
      <c r="E5" s="72"/>
      <c r="F5" s="72"/>
      <c r="G5" s="72"/>
      <c r="H5" s="72"/>
      <c r="I5" s="72"/>
      <c r="J5" s="72"/>
      <c r="K5" s="30"/>
      <c r="L5" s="30"/>
      <c r="M5" s="30"/>
      <c r="N5" s="12"/>
      <c r="O5" s="12"/>
    </row>
    <row r="6" spans="1:21" ht="13.5" customHeight="1" thickBot="1" x14ac:dyDescent="0.25">
      <c r="B6" s="369" t="s">
        <v>101</v>
      </c>
      <c r="C6" s="369"/>
      <c r="D6" s="70"/>
      <c r="E6" s="398" t="s">
        <v>5</v>
      </c>
      <c r="F6" s="399"/>
      <c r="G6" s="399"/>
      <c r="H6" s="398" t="s">
        <v>6</v>
      </c>
      <c r="I6" s="399"/>
      <c r="J6" s="400"/>
      <c r="K6" s="30"/>
      <c r="L6" s="397" t="s">
        <v>105</v>
      </c>
      <c r="M6" s="122"/>
      <c r="N6" s="122"/>
      <c r="O6" s="122"/>
      <c r="P6" s="122"/>
      <c r="Q6" s="122"/>
      <c r="R6" s="122"/>
      <c r="S6" s="122"/>
      <c r="T6" s="122"/>
      <c r="U6" s="122"/>
    </row>
    <row r="7" spans="1:21" ht="13.5" thickBot="1" x14ac:dyDescent="0.25">
      <c r="B7" s="12"/>
      <c r="C7" s="72"/>
      <c r="D7" s="71"/>
      <c r="E7" s="76" t="s">
        <v>7</v>
      </c>
      <c r="F7" s="77" t="s">
        <v>8</v>
      </c>
      <c r="G7" s="78" t="s">
        <v>61</v>
      </c>
      <c r="H7" s="76" t="s">
        <v>7</v>
      </c>
      <c r="I7" s="78" t="s">
        <v>8</v>
      </c>
      <c r="J7" s="79" t="s">
        <v>61</v>
      </c>
      <c r="K7" s="30"/>
      <c r="L7" s="397"/>
      <c r="M7" s="122"/>
      <c r="N7" s="122"/>
      <c r="O7" s="122"/>
      <c r="P7" s="122"/>
      <c r="Q7" s="122"/>
      <c r="R7" s="122"/>
      <c r="S7" s="122"/>
      <c r="T7" s="122"/>
      <c r="U7" s="122"/>
    </row>
    <row r="8" spans="1:21" ht="13.5" customHeight="1" thickTop="1" x14ac:dyDescent="0.2">
      <c r="B8" s="295" t="s">
        <v>91</v>
      </c>
      <c r="C8" s="382" t="s">
        <v>9</v>
      </c>
      <c r="D8" s="383"/>
      <c r="E8" s="80">
        <f>(Estimator!$J$11/2000)*$E$35</f>
        <v>6.4513254888959211E-3</v>
      </c>
      <c r="F8" s="81">
        <f>(Estimator!$J$11/2000)*$F$35</f>
        <v>3.0513025960994221E-3</v>
      </c>
      <c r="G8" s="82">
        <f>$G$35*(Estimator!$J$11/2000)</f>
        <v>4.620543931236268E-4</v>
      </c>
      <c r="H8" s="83" t="s">
        <v>28</v>
      </c>
      <c r="I8" s="84" t="s">
        <v>28</v>
      </c>
      <c r="J8" s="85" t="s">
        <v>28</v>
      </c>
      <c r="K8" s="30"/>
      <c r="L8" s="397"/>
    </row>
    <row r="9" spans="1:21" x14ac:dyDescent="0.2">
      <c r="B9" s="295"/>
      <c r="C9" s="380" t="s">
        <v>10</v>
      </c>
      <c r="D9" s="381"/>
      <c r="E9" s="86">
        <f>(Estimator!$J$12/2000)*$E$36</f>
        <v>1.4882312551698217E-3</v>
      </c>
      <c r="F9" s="58">
        <f>(Estimator!$J$12/2000)*$F$36</f>
        <v>7.0389316122896977E-4</v>
      </c>
      <c r="G9" s="59">
        <f>$G$36*(Estimator!$J$12/2000)</f>
        <v>1.0658953584324401E-4</v>
      </c>
      <c r="H9" s="60" t="s">
        <v>28</v>
      </c>
      <c r="I9" s="61" t="s">
        <v>28</v>
      </c>
      <c r="J9" s="62" t="s">
        <v>28</v>
      </c>
      <c r="K9" s="30"/>
      <c r="L9" s="397"/>
    </row>
    <row r="10" spans="1:21" x14ac:dyDescent="0.2">
      <c r="B10" s="295"/>
      <c r="C10" s="384" t="s">
        <v>11</v>
      </c>
      <c r="D10" s="385"/>
      <c r="E10" s="31">
        <f>(Estimator!$J$11/2000)*$E$35</f>
        <v>6.4513254888959211E-3</v>
      </c>
      <c r="F10" s="32">
        <f>(Estimator!$J$11/2000)*$F$35</f>
        <v>3.0513025960994221E-3</v>
      </c>
      <c r="G10" s="33">
        <f>$G$35*(Estimator!$J$11/2000)</f>
        <v>4.620543931236268E-4</v>
      </c>
      <c r="H10" s="34" t="s">
        <v>28</v>
      </c>
      <c r="I10" s="35" t="s">
        <v>28</v>
      </c>
      <c r="J10" s="36" t="s">
        <v>28</v>
      </c>
      <c r="K10" s="30"/>
      <c r="L10" s="397"/>
      <c r="M10" s="30"/>
      <c r="N10" s="12"/>
      <c r="O10" s="12"/>
    </row>
    <row r="11" spans="1:21" x14ac:dyDescent="0.2">
      <c r="B11" s="295"/>
      <c r="C11" s="380" t="s">
        <v>12</v>
      </c>
      <c r="D11" s="381"/>
      <c r="E11" s="57">
        <f>(Estimator!$J$12/2000)*$E$36</f>
        <v>1.4882312551698217E-3</v>
      </c>
      <c r="F11" s="58">
        <f>(Estimator!$J$12/2000)*$F$36</f>
        <v>7.0389316122896977E-4</v>
      </c>
      <c r="G11" s="59">
        <f>$G$36*(Estimator!$J$12/2000)</f>
        <v>1.0658953584324401E-4</v>
      </c>
      <c r="H11" s="60" t="s">
        <v>28</v>
      </c>
      <c r="I11" s="61" t="s">
        <v>28</v>
      </c>
      <c r="J11" s="62" t="s">
        <v>28</v>
      </c>
      <c r="K11" s="30"/>
      <c r="L11" s="397"/>
      <c r="M11" s="30"/>
      <c r="N11" s="12"/>
      <c r="O11" s="12"/>
    </row>
    <row r="12" spans="1:21" x14ac:dyDescent="0.2">
      <c r="B12" s="295"/>
      <c r="C12" s="384" t="s">
        <v>13</v>
      </c>
      <c r="D12" s="385"/>
      <c r="E12" s="31">
        <f>(Estimator!$J$11/2000)*$E$35</f>
        <v>6.4513254888959211E-3</v>
      </c>
      <c r="F12" s="32">
        <f>(Estimator!$J$11/2000)*$F$35</f>
        <v>3.0513025960994221E-3</v>
      </c>
      <c r="G12" s="33">
        <f>$G$35*(Estimator!$J$11/2000)</f>
        <v>4.620543931236268E-4</v>
      </c>
      <c r="H12" s="34" t="s">
        <v>28</v>
      </c>
      <c r="I12" s="35" t="s">
        <v>28</v>
      </c>
      <c r="J12" s="36" t="s">
        <v>28</v>
      </c>
      <c r="K12" s="30"/>
      <c r="L12" s="397"/>
      <c r="M12" s="30"/>
      <c r="N12" s="12"/>
      <c r="O12" s="12"/>
    </row>
    <row r="13" spans="1:21" x14ac:dyDescent="0.2">
      <c r="B13" s="295"/>
      <c r="C13" s="380" t="s">
        <v>14</v>
      </c>
      <c r="D13" s="381"/>
      <c r="E13" s="63">
        <f>(Estimator!$J$12/2000)*$E$36</f>
        <v>1.4882312551698217E-3</v>
      </c>
      <c r="F13" s="64">
        <f>(Estimator!$J$12/2000)*$F$36</f>
        <v>7.0389316122896977E-4</v>
      </c>
      <c r="G13" s="65">
        <f>$G$36*(Estimator!$J$12/2000)</f>
        <v>1.0658953584324401E-4</v>
      </c>
      <c r="H13" s="60" t="s">
        <v>28</v>
      </c>
      <c r="I13" s="61" t="s">
        <v>28</v>
      </c>
      <c r="J13" s="62" t="s">
        <v>28</v>
      </c>
      <c r="K13" s="30"/>
      <c r="L13" s="397"/>
      <c r="M13" s="30"/>
      <c r="N13" s="12"/>
      <c r="O13" s="12"/>
    </row>
    <row r="14" spans="1:21" x14ac:dyDescent="0.2">
      <c r="B14" s="295"/>
      <c r="C14" s="384" t="s">
        <v>15</v>
      </c>
      <c r="D14" s="385"/>
      <c r="E14" s="40" t="s">
        <v>28</v>
      </c>
      <c r="F14" s="41" t="s">
        <v>28</v>
      </c>
      <c r="G14" s="35" t="s">
        <v>28</v>
      </c>
      <c r="H14" s="42">
        <f>Estimator!$J$13/2000*H37</f>
        <v>2.43045E-4</v>
      </c>
      <c r="I14" s="33">
        <f>Estimator!$J$13/2000*I37</f>
        <v>8.3469999999999999E-5</v>
      </c>
      <c r="J14" s="43">
        <f>J37*(Estimator!J13/2000)</f>
        <v>8.3469999999999999E-5</v>
      </c>
      <c r="K14" s="30"/>
      <c r="L14" s="397"/>
      <c r="M14" s="30"/>
      <c r="N14" s="12"/>
      <c r="O14" s="12"/>
    </row>
    <row r="15" spans="1:21" x14ac:dyDescent="0.2">
      <c r="B15" s="295"/>
      <c r="C15" s="380" t="s">
        <v>54</v>
      </c>
      <c r="D15" s="381"/>
      <c r="E15" s="66" t="s">
        <v>28</v>
      </c>
      <c r="F15" s="67" t="s">
        <v>28</v>
      </c>
      <c r="G15" s="61" t="s">
        <v>28</v>
      </c>
      <c r="H15" s="60">
        <f>IF(Estimator!$G$10="Y",Estimator!$J$14/2000*H38,"-")</f>
        <v>3.2484999999999995E-4</v>
      </c>
      <c r="I15" s="61">
        <f>IF(Estimator!$G$10="Y",Estimator!$J$14/2000*I38,"-")</f>
        <v>1.7884999999999998E-4</v>
      </c>
      <c r="J15" s="62">
        <f>IF(Estimator!$G$10="Y",J38*Estimator!J14/2000,"-")</f>
        <v>1.7884999999999998E-4</v>
      </c>
      <c r="K15" s="30"/>
      <c r="L15" s="397"/>
      <c r="M15" s="30"/>
      <c r="N15" s="12"/>
      <c r="O15" s="12"/>
    </row>
    <row r="16" spans="1:21" x14ac:dyDescent="0.2">
      <c r="B16" s="295"/>
      <c r="C16" s="384" t="s">
        <v>16</v>
      </c>
      <c r="D16" s="385"/>
      <c r="E16" s="37">
        <f>E39*((Estimator!$J$11+Estimator!$J$12)/2000)</f>
        <v>7.9395567440657434E-3</v>
      </c>
      <c r="F16" s="38">
        <f>F39*((Estimator!$J$11+Estimator!$J$12)/2000)</f>
        <v>3.7551957573283921E-3</v>
      </c>
      <c r="G16" s="39">
        <f>G39*((Estimator!$J$11+Estimator!$J$12)/2000)</f>
        <v>5.6864392896687095E-4</v>
      </c>
      <c r="H16" s="34" t="s">
        <v>28</v>
      </c>
      <c r="I16" s="35" t="s">
        <v>28</v>
      </c>
      <c r="J16" s="36" t="s">
        <v>28</v>
      </c>
      <c r="K16" s="30"/>
      <c r="L16" s="397"/>
      <c r="M16" s="30"/>
      <c r="N16" s="12"/>
      <c r="O16" s="12"/>
    </row>
    <row r="17" spans="1:15" ht="15.75" customHeight="1" thickBot="1" x14ac:dyDescent="0.3">
      <c r="B17" s="295"/>
      <c r="C17" s="386" t="s">
        <v>53</v>
      </c>
      <c r="D17" s="387"/>
      <c r="E17" s="219">
        <f>IF(AND(Estimator!$G$14="Y",Estimator!$G$13="N"),"-",IF(Estimator!$G$14="Y",IF(Estimator!$D$75=3,"-",IF(Estimator!$D$75=1,((Estimator!$J$13+Estimator!$J$14)/2000)*H41,((Estimator!$J$13+Estimator!$J$14)/2000)*H40)),IF(Estimator!$D$75=3,"-",IF(Estimator!$D$75=1,((Estimator!$J$13+Estimator!$J$14)/2000)*E41,((Estimator!$J$13+Estimator!$J$14)/2000)*E40))))</f>
        <v>0.16130399999999998</v>
      </c>
      <c r="F17" s="220">
        <f>IF(AND(Estimator!$G$14="Y",Estimator!$G$13="N"),"-",IF(Estimator!$G$14="Y",IF(Estimator!$D$75=3,"-",IF(Estimator!$D$75=1,((Estimator!$J$13+Estimator!$J$14)/2000)*I41,((Estimator!$J$13+Estimator!$J$14)/2000)*I40)),IF(Estimator!$D$75=3,"-",IF(Estimator!$D$75=1,((Estimator!$J$13+Estimator!$J$14)/2000)*F41,((Estimator!$J$13+Estimator!$J$14)/2000)*F40))))</f>
        <v>4.3991999999999996E-2</v>
      </c>
      <c r="G17" s="221">
        <f>IF(AND(Estimator!$G$14="Y",Estimator!$G$13="N"),"-",IF(Estimator!$G$14="Y",IF(Estimator!$D$75=3,"-",IF(Estimator!$D$75=1,((Estimator!$J$13+Estimator!$J$14)/2000)*J41,((Estimator!$J$13+Estimator!$J$14)/2000)*J40)),IF(Estimator!$D$75=3,"-",IF(Estimator!$D$75=1,((Estimator!$J$13+Estimator!$J$14)/2000)*G41,((Estimator!$J$13+Estimator!$J$14)/2000)*G40))))</f>
        <v>5.0759999999999989E-3</v>
      </c>
      <c r="H17" s="222">
        <f>IF(Estimator!$G$13="Y",IF(Estimator!$G$14="Y","-",IF(Estimator!$D$75=3,"-",IF(Estimator!$D$75=1,((Estimator!$J$13+Estimator!$J$14)/2000)*H41,((Estimator!$J$13+Estimator!$J$14)/2000)*H40))),"-")</f>
        <v>5.1887999999999995E-3</v>
      </c>
      <c r="I17" s="221">
        <f>IF(Estimator!$G$13="Y",IF(Estimator!$G$14="Y","-",IF(Estimator!$D$75=3,"-",IF(Estimator!$D$75=1,((Estimator!$J$13+Estimator!$J$14)/2000)*I41,((Estimator!$J$13+Estimator!$J$14)/2000)*I40))),"-")</f>
        <v>1.5509999999999999E-3</v>
      </c>
      <c r="J17" s="223">
        <f>IF(Estimator!$G$13="Y",IF(Estimator!$G$14="Y","-",IF(Estimator!$D$75=3,"-",IF(Estimator!$D$75=1,((Estimator!$J$13+Estimator!$J$14)/2000)*J41,((Estimator!$J$13+Estimator!$J$14)/2000)*J40))),"-")</f>
        <v>2.5379999999999999E-4</v>
      </c>
      <c r="K17" s="30"/>
      <c r="L17" s="397"/>
      <c r="M17" s="30"/>
      <c r="N17" s="12"/>
      <c r="O17" s="12"/>
    </row>
    <row r="18" spans="1:15" x14ac:dyDescent="0.2">
      <c r="B18" s="12"/>
      <c r="C18" s="30"/>
      <c r="D18" s="30"/>
      <c r="E18" s="30"/>
      <c r="F18" s="30"/>
      <c r="G18" s="30"/>
      <c r="H18" s="30"/>
      <c r="I18" s="30"/>
      <c r="J18" s="30"/>
      <c r="K18" s="30"/>
      <c r="L18" s="30"/>
      <c r="M18" s="30"/>
      <c r="N18" s="12"/>
      <c r="O18" s="12"/>
    </row>
    <row r="19" spans="1:15" x14ac:dyDescent="0.2">
      <c r="B19" s="12"/>
      <c r="C19" s="44"/>
      <c r="D19" s="44"/>
      <c r="E19" s="45"/>
      <c r="F19" s="45"/>
      <c r="G19" s="45"/>
      <c r="H19" s="45"/>
      <c r="I19" s="45"/>
      <c r="J19" s="45"/>
      <c r="K19" s="45"/>
      <c r="L19" s="45"/>
      <c r="M19" s="45"/>
      <c r="N19" s="13"/>
      <c r="O19" s="12"/>
    </row>
    <row r="20" spans="1:15" ht="13.5" thickBot="1" x14ac:dyDescent="0.25">
      <c r="B20" s="12"/>
      <c r="C20" s="44"/>
      <c r="D20" s="44"/>
      <c r="E20" s="370"/>
      <c r="F20" s="370"/>
      <c r="G20" s="370"/>
      <c r="H20" s="370"/>
      <c r="I20" s="370"/>
      <c r="J20" s="370"/>
      <c r="K20" s="370"/>
      <c r="L20" s="370"/>
      <c r="M20" s="370"/>
      <c r="N20" s="12"/>
      <c r="O20" s="12"/>
    </row>
    <row r="21" spans="1:15" ht="14.25" thickTop="1" thickBot="1" x14ac:dyDescent="0.25">
      <c r="B21" s="369" t="s">
        <v>102</v>
      </c>
      <c r="C21" s="369"/>
      <c r="D21" s="92"/>
      <c r="E21" s="393" t="s">
        <v>18</v>
      </c>
      <c r="F21" s="375" t="s">
        <v>19</v>
      </c>
      <c r="G21" s="375" t="s">
        <v>20</v>
      </c>
      <c r="H21" s="375" t="s">
        <v>21</v>
      </c>
      <c r="I21" s="375" t="s">
        <v>22</v>
      </c>
      <c r="J21" s="375" t="s">
        <v>23</v>
      </c>
      <c r="K21" s="375" t="s">
        <v>24</v>
      </c>
      <c r="L21" s="375" t="s">
        <v>25</v>
      </c>
      <c r="M21" s="395" t="s">
        <v>26</v>
      </c>
      <c r="N21" s="12"/>
      <c r="O21" s="12"/>
    </row>
    <row r="22" spans="1:15" ht="13.5" thickBot="1" x14ac:dyDescent="0.25">
      <c r="B22" s="12"/>
      <c r="C22" s="73"/>
      <c r="D22" s="91"/>
      <c r="E22" s="394"/>
      <c r="F22" s="376"/>
      <c r="G22" s="376"/>
      <c r="H22" s="376"/>
      <c r="I22" s="376"/>
      <c r="J22" s="376"/>
      <c r="K22" s="376"/>
      <c r="L22" s="376"/>
      <c r="M22" s="396"/>
      <c r="N22" s="12"/>
      <c r="O22" s="12"/>
    </row>
    <row r="23" spans="1:15" ht="13.5" thickTop="1" x14ac:dyDescent="0.2">
      <c r="B23" s="388" t="s">
        <v>91</v>
      </c>
      <c r="C23" s="361" t="s">
        <v>27</v>
      </c>
      <c r="D23" s="362"/>
      <c r="E23" s="93">
        <f>(Estimator!$J$13/2000)*E53</f>
        <v>1.04092E-9</v>
      </c>
      <c r="F23" s="94">
        <f>(Estimator!$J$13/2000)*F53</f>
        <v>1.19313E-10</v>
      </c>
      <c r="G23" s="94" t="s">
        <v>28</v>
      </c>
      <c r="H23" s="94">
        <f>(Estimator!$J$13/2000)*H53</f>
        <v>7.1195000000000005E-9</v>
      </c>
      <c r="I23" s="94">
        <f>(Estimator!$J$13/2000)*I53</f>
        <v>2.67595E-9</v>
      </c>
      <c r="J23" s="94">
        <f>(Estimator!$J$13/2000)*J53</f>
        <v>2.8723499999999999E-8</v>
      </c>
      <c r="K23" s="94">
        <f>(Estimator!$J$13/2000)*K53</f>
        <v>1.0261899999999999E-8</v>
      </c>
      <c r="L23" s="94" t="s">
        <v>28</v>
      </c>
      <c r="M23" s="95" t="s">
        <v>28</v>
      </c>
      <c r="N23" s="12"/>
      <c r="O23" s="12"/>
    </row>
    <row r="24" spans="1:15" x14ac:dyDescent="0.2">
      <c r="B24" s="388"/>
      <c r="C24" s="363" t="s">
        <v>55</v>
      </c>
      <c r="D24" s="364"/>
      <c r="E24" s="96">
        <f>IF(Estimator!$G$10="Y",(Estimator!$J$14/2000)*E54,"-")</f>
        <v>3.6499999999999996E-8</v>
      </c>
      <c r="F24" s="87">
        <f>IF(Estimator!$G$10="Y",(Estimator!$J$14/2000)*F54,"-")</f>
        <v>3.2996000000000001E-9</v>
      </c>
      <c r="G24" s="87">
        <f>IF(Estimator!$G$10="Y",(Estimator!$J$14/2000)*G54,"-")</f>
        <v>7.226999999999999E-12</v>
      </c>
      <c r="H24" s="87">
        <f>IF(Estimator!$G$10="Y",(Estimator!$J$14/2000)*H54,"-")</f>
        <v>4.4529999999999996E-8</v>
      </c>
      <c r="I24" s="87">
        <f>IF(Estimator!$G$10="Y",(Estimator!$J$14/2000)*I54,"-")</f>
        <v>1.8979999999999999E-8</v>
      </c>
      <c r="J24" s="87">
        <f>IF(Estimator!$G$10="Y",(Estimator!$J$14/2000)*J54,"-")</f>
        <v>9.3440000000000008E-9</v>
      </c>
      <c r="K24" s="87">
        <f>IF(Estimator!$G$10="Y",(Estimator!$J$14/2000)*K54,"-")</f>
        <v>8.322E-8</v>
      </c>
      <c r="L24" s="87">
        <f>IF(Estimator!$G$10="Y",(Estimator!$J$14/2000)*L54,"-")</f>
        <v>1.2921E-7</v>
      </c>
      <c r="M24" s="88">
        <f>IF(Estimator!$G$10="Y",(Estimator!$J$14/2000)*M54,"-")</f>
        <v>2.6426E-9</v>
      </c>
      <c r="N24" s="12"/>
      <c r="O24" s="12"/>
    </row>
    <row r="25" spans="1:15" ht="15" x14ac:dyDescent="0.25">
      <c r="B25" s="388"/>
      <c r="C25" s="365" t="s">
        <v>57</v>
      </c>
      <c r="D25" s="366"/>
      <c r="E25" s="213">
        <f xml:space="preserve"> IF(Estimator!$D$75=3,"-",IF(Estimator!$D$75=1,((Estimator!$J$13+Estimator!$J$14)/2000)*E48,((Estimator!$J$13+Estimator!$J$14)/2000)*E49))</f>
        <v>2.3631599999999994E-6</v>
      </c>
      <c r="F25" s="214" t="str">
        <f>IF(Estimator!$D$75=1,((Estimator!$J$13+Estimator!$J$14)/2000)*F48,"-")</f>
        <v>-</v>
      </c>
      <c r="G25" s="214">
        <f>IF(Estimator!$D$75=3,"-",IF(Estimator!$D$75=1,((Estimator!$J$13+Estimator!$J$14)/2000)*G48,((Estimator!$J$13+Estimator!$J$14)/2000)*G49))</f>
        <v>3.3275999999999996E-9</v>
      </c>
      <c r="H25" s="214">
        <f>IF(Estimator!$D$75=3,"-",IF(Estimator!$D$75=1,((Estimator!$J$13+Estimator!$J$14)/2000)*H48,((Estimator!$J$13+Estimator!$J$14)/2000)*H49))</f>
        <v>4.0043999999999995E-7</v>
      </c>
      <c r="I25" s="214">
        <f>IF(Estimator!$D$75=3,"-",IF(Estimator!$D$75=1,((Estimator!$J$13+Estimator!$J$14)/2000)*I48,((Estimator!$J$13+Estimator!$J$14)/2000)*I49))</f>
        <v>1.0772399999999999E-7</v>
      </c>
      <c r="J25" s="214">
        <f>IF(Estimator!$D$75=3,"-",IF(Estimator!$D$75=1,((Estimator!$J$13+Estimator!$J$14)/2000)*J48,((Estimator!$J$13+Estimator!$J$14)/2000)*J49))</f>
        <v>1.7258399999999997E-5</v>
      </c>
      <c r="K25" s="214">
        <f>IF(Estimator!$D$75=3,"-",IF(Estimator!$D$75=1,((Estimator!$J$13+Estimator!$J$14)/2000)*K48,((Estimator!$J$13+Estimator!$J$14)/2000)*K49))</f>
        <v>9.2495999999999989E-7</v>
      </c>
      <c r="L25" s="214">
        <f>IF(Estimator!$D$75=3,"-",IF(Estimator!$D$75=1,((Estimator!$J$13+Estimator!$J$14)/2000)*L48,((Estimator!$J$13+Estimator!$J$14)/2000)*L49))</f>
        <v>5.6963999999999994E-6</v>
      </c>
      <c r="M25" s="215" t="str">
        <f>IF(Estimator!$D$75=3,"-",IF(Estimator!$D$75=1,((Estimator!$J$13+Estimator!$J$14)/2000)*M48,"-"))</f>
        <v>-</v>
      </c>
      <c r="N25" s="12"/>
      <c r="O25" s="12"/>
    </row>
    <row r="26" spans="1:15" ht="15.75" thickBot="1" x14ac:dyDescent="0.3">
      <c r="B26" s="388"/>
      <c r="C26" s="367" t="s">
        <v>58</v>
      </c>
      <c r="D26" s="368"/>
      <c r="E26" s="216">
        <f>IF(Estimator!$D$75=3,"-",IF(Estimator!$D$75=1,((Estimator!$J$13+Estimator!$J$14)/2000)*E55,IF(E56="-","-",((Estimator!$J$13+Estimator!$J$14)/2000)*E56)))</f>
        <v>8.3471999999999995E-8</v>
      </c>
      <c r="F26" s="217" t="str">
        <f>IF(Estimator!$D$75=1,((Estimator!$J$13+Estimator!$J$14)/2000)*F55,IF(F56="-","-",((Estimator!$J$13+Estimator!$J$14)/2000)*F56))</f>
        <v>-</v>
      </c>
      <c r="G26" s="217">
        <f>IF(Estimator!$D$75=3,"-",IF(Estimator!$D$75=1,((Estimator!$J$13+Estimator!$J$14)/2000)*G55,IF(G56="-","-",((Estimator!$J$13+Estimator!$J$14)/2000)*G56)))</f>
        <v>2.0021999999999998E-10</v>
      </c>
      <c r="H26" s="217">
        <f>IF(Estimator!$D$75=3,"-",IF(Estimator!$D$75=1,((Estimator!$J$13+Estimator!$J$14)/2000)*H55,IF(H56="-","-",((Estimator!$J$13+Estimator!$J$14)/2000)*H56)))</f>
        <v>3.5813999999999999E-8</v>
      </c>
      <c r="I26" s="217">
        <f>IF(Estimator!$D$75=3,"-",IF(Estimator!$D$75=1,((Estimator!$J$13+Estimator!$J$14)/2000)*I55,IF(I56="-","-",((Estimator!$J$13+Estimator!$J$14)/2000)*I56)))</f>
        <v>1.0321199999999998E-8</v>
      </c>
      <c r="J26" s="217">
        <f>IF(Estimator!$D$75=3,"-",IF(Estimator!$D$75=1,((Estimator!$J$13+Estimator!$J$14)/2000)*J55,IF(J56="-","-",((Estimator!$J$13+Estimator!$J$14)/2000)*J56)))</f>
        <v>1.0659599999999998E-6</v>
      </c>
      <c r="K26" s="217">
        <f>IF(Estimator!$D$75=3,"-",IF(Estimator!$D$75=1,((Estimator!$J$13+Estimator!$J$14)/2000)*K55,IF(K56="-","-",((Estimator!$J$13+Estimator!$J$14)/2000)*K56)))</f>
        <v>6.9935999999999998E-8</v>
      </c>
      <c r="L26" s="217">
        <f>IF(Estimator!$D$75=3,"-",IF(Estimator!$D$75=1,((Estimator!$J$13+Estimator!$J$14)/2000)*L55,IF(L56="-","-",((Estimator!$J$13+Estimator!$J$14)/2000)*L56)))</f>
        <v>3.3839999999999996E-7</v>
      </c>
      <c r="M26" s="218" t="str">
        <f>IF(Estimator!$D$75=3,"-",IF(Estimator!$D$75=1,((Estimator!$J$13+Estimator!$J$14)/2000)*M55,IF(M56="-","-","-")))</f>
        <v>-</v>
      </c>
      <c r="N26" s="12"/>
      <c r="O26" s="12"/>
    </row>
    <row r="27" spans="1:15" ht="13.5" thickTop="1" x14ac:dyDescent="0.2">
      <c r="B27" s="12"/>
      <c r="C27" s="30"/>
      <c r="D27" s="30"/>
      <c r="E27" s="30"/>
      <c r="F27" s="30"/>
      <c r="G27" s="30"/>
      <c r="H27" s="30"/>
      <c r="I27" s="30"/>
      <c r="J27" s="30"/>
      <c r="K27" s="30"/>
      <c r="L27" s="30"/>
      <c r="M27" s="30"/>
      <c r="N27" s="12"/>
      <c r="O27" s="12"/>
    </row>
    <row r="28" spans="1:15" x14ac:dyDescent="0.2">
      <c r="B28" s="12"/>
      <c r="C28" s="30"/>
      <c r="D28" s="30"/>
      <c r="E28" s="30"/>
      <c r="F28" s="30"/>
      <c r="G28" s="30"/>
      <c r="H28" s="30"/>
      <c r="I28" s="30"/>
      <c r="J28" s="30"/>
      <c r="K28" s="30"/>
      <c r="L28" s="30"/>
      <c r="M28" s="30"/>
      <c r="N28" s="12"/>
      <c r="O28" s="12"/>
    </row>
    <row r="29" spans="1:15" ht="13.5" thickBot="1" x14ac:dyDescent="0.25">
      <c r="B29" s="12"/>
      <c r="C29" s="30"/>
      <c r="D29" s="30"/>
      <c r="E29" s="30"/>
      <c r="F29" s="30"/>
      <c r="G29" s="30"/>
      <c r="H29" s="30"/>
      <c r="I29" s="30"/>
      <c r="J29" s="30"/>
      <c r="K29" s="30"/>
      <c r="L29" s="30"/>
      <c r="M29" s="30"/>
      <c r="N29" s="12"/>
      <c r="O29" s="12"/>
    </row>
    <row r="30" spans="1:15" ht="13.5" thickBot="1" x14ac:dyDescent="0.25">
      <c r="A30" s="377" t="s">
        <v>104</v>
      </c>
      <c r="B30" s="377"/>
      <c r="C30" s="377"/>
      <c r="D30" s="30"/>
      <c r="E30" s="30"/>
      <c r="F30" s="30"/>
      <c r="G30" s="30"/>
      <c r="H30" s="30"/>
      <c r="I30" s="30"/>
      <c r="J30" s="30"/>
      <c r="K30" s="30"/>
      <c r="L30" s="30"/>
      <c r="M30" s="30"/>
      <c r="N30" s="12"/>
      <c r="O30" s="12"/>
    </row>
    <row r="31" spans="1:15" ht="13.5" thickBot="1" x14ac:dyDescent="0.25">
      <c r="A31" s="100"/>
      <c r="B31" s="100"/>
      <c r="C31" s="100"/>
      <c r="D31" s="30"/>
      <c r="E31" s="30"/>
      <c r="F31" s="30"/>
      <c r="G31" s="30"/>
      <c r="H31" s="30"/>
      <c r="I31" s="30"/>
      <c r="J31" s="30"/>
      <c r="K31" s="30"/>
      <c r="L31" s="30"/>
      <c r="M31" s="30"/>
      <c r="N31" s="12"/>
      <c r="O31" s="12"/>
    </row>
    <row r="32" spans="1:15" ht="15" thickBot="1" x14ac:dyDescent="0.3">
      <c r="B32" s="369" t="s">
        <v>103</v>
      </c>
      <c r="C32" s="369"/>
      <c r="E32" s="30"/>
      <c r="F32" s="30"/>
      <c r="G32" s="30"/>
      <c r="H32" s="30"/>
      <c r="I32" s="30"/>
      <c r="J32" s="30"/>
      <c r="K32" s="30"/>
      <c r="L32" s="30"/>
      <c r="M32" s="30"/>
      <c r="N32" s="12"/>
      <c r="O32" s="12"/>
    </row>
    <row r="33" spans="2:15" ht="13.5" thickTop="1" x14ac:dyDescent="0.2">
      <c r="B33" s="378" t="s">
        <v>32</v>
      </c>
      <c r="C33" s="378"/>
      <c r="D33" s="379"/>
      <c r="E33" s="389" t="s">
        <v>5</v>
      </c>
      <c r="F33" s="390"/>
      <c r="G33" s="391"/>
      <c r="H33" s="389" t="s">
        <v>6</v>
      </c>
      <c r="I33" s="390"/>
      <c r="J33" s="392"/>
      <c r="K33" s="49"/>
      <c r="L33" s="49"/>
      <c r="M33" s="49"/>
      <c r="N33" s="14"/>
      <c r="O33" s="14"/>
    </row>
    <row r="34" spans="2:15" ht="13.5" thickBot="1" x14ac:dyDescent="0.25">
      <c r="B34" s="12"/>
      <c r="C34" s="75"/>
      <c r="D34" s="92"/>
      <c r="E34" s="76" t="s">
        <v>7</v>
      </c>
      <c r="F34" s="78" t="s">
        <v>8</v>
      </c>
      <c r="G34" s="79" t="s">
        <v>61</v>
      </c>
      <c r="H34" s="76" t="s">
        <v>7</v>
      </c>
      <c r="I34" s="78" t="s">
        <v>8</v>
      </c>
      <c r="J34" s="101" t="s">
        <v>61</v>
      </c>
      <c r="K34" s="49"/>
      <c r="L34" s="49"/>
      <c r="M34" s="49"/>
      <c r="N34" s="14"/>
      <c r="O34" s="14"/>
    </row>
    <row r="35" spans="2:15" ht="13.5" thickTop="1" x14ac:dyDescent="0.2">
      <c r="B35" s="358" t="s">
        <v>91</v>
      </c>
      <c r="C35" s="373" t="s">
        <v>33</v>
      </c>
      <c r="D35" s="374"/>
      <c r="E35" s="80">
        <f>0.74*0.0032*(((Estimator!N11/5)^1.3)/((Estimator!N12/2)^1.4))</f>
        <v>6.9183115162422745E-3</v>
      </c>
      <c r="F35" s="82">
        <f>0.35*0.0032*(((Estimator!N11/5)^1.3)/((Estimator!N12/2)^1.4))</f>
        <v>3.2721743657902649E-3</v>
      </c>
      <c r="G35" s="102">
        <f>0.053*0.0032*(((Estimator!N11/5)^1.3)/((Estimator!N12/2)^1.4))</f>
        <v>4.955006896768116E-4</v>
      </c>
      <c r="H35" s="103"/>
      <c r="I35" s="82"/>
      <c r="J35" s="104"/>
      <c r="K35" s="49" t="s">
        <v>118</v>
      </c>
      <c r="L35" s="49"/>
      <c r="M35" s="49"/>
      <c r="N35" s="14"/>
      <c r="O35" s="14"/>
    </row>
    <row r="36" spans="2:15" x14ac:dyDescent="0.2">
      <c r="B36" s="358"/>
      <c r="C36" s="363" t="s">
        <v>34</v>
      </c>
      <c r="D36" s="364"/>
      <c r="E36" s="86">
        <f>0.74*0.0032*(((Estimator!N11/5)^1.3)/((Estimator!N13/2)^1.4))</f>
        <v>2.0843575002378457E-3</v>
      </c>
      <c r="F36" s="59">
        <f>0.35*0.0032*(((Estimator!N11/5)^1.3)/((Estimator!N13/2)^1.4))</f>
        <v>9.8584476362600817E-4</v>
      </c>
      <c r="G36" s="69">
        <f>0.053*0.0032*(((Estimator!N11/5)^1.3)/((Estimator!N13/2)^1.4))</f>
        <v>1.4928506420622411E-4</v>
      </c>
      <c r="H36" s="68"/>
      <c r="I36" s="59"/>
      <c r="J36" s="99"/>
      <c r="K36" s="49" t="s">
        <v>118</v>
      </c>
      <c r="L36" s="49"/>
      <c r="M36" s="49"/>
      <c r="N36" s="14"/>
      <c r="O36" s="14"/>
    </row>
    <row r="37" spans="2:15" x14ac:dyDescent="0.2">
      <c r="B37" s="358"/>
      <c r="C37" s="365" t="s">
        <v>35</v>
      </c>
      <c r="D37" s="366"/>
      <c r="E37" s="105"/>
      <c r="F37" s="33"/>
      <c r="G37" s="43"/>
      <c r="H37" s="42">
        <v>9.8999999999999999E-4</v>
      </c>
      <c r="I37" s="33">
        <v>3.4000000000000002E-4</v>
      </c>
      <c r="J37" s="50">
        <f>I37</f>
        <v>3.4000000000000002E-4</v>
      </c>
      <c r="K37" s="49" t="s">
        <v>62</v>
      </c>
      <c r="L37" s="49"/>
      <c r="M37" s="49"/>
      <c r="N37" s="14"/>
      <c r="O37" s="14"/>
    </row>
    <row r="38" spans="2:15" x14ac:dyDescent="0.2">
      <c r="B38" s="358"/>
      <c r="C38" s="363" t="s">
        <v>123</v>
      </c>
      <c r="D38" s="364"/>
      <c r="E38" s="86"/>
      <c r="F38" s="59"/>
      <c r="G38" s="69"/>
      <c r="H38" s="68">
        <v>8.8999999999999999E-3</v>
      </c>
      <c r="I38" s="59">
        <v>4.8999999999999998E-3</v>
      </c>
      <c r="J38" s="99">
        <f>I38</f>
        <v>4.8999999999999998E-3</v>
      </c>
      <c r="K38" s="49" t="s">
        <v>63</v>
      </c>
      <c r="L38" s="49"/>
      <c r="M38" s="49"/>
      <c r="N38" s="14"/>
      <c r="O38" s="14"/>
    </row>
    <row r="39" spans="2:15" x14ac:dyDescent="0.2">
      <c r="B39" s="358"/>
      <c r="C39" s="365" t="s">
        <v>124</v>
      </c>
      <c r="D39" s="366"/>
      <c r="E39" s="106">
        <f>E35*(Estimator!$J$11/(Estimator!$J$11+Estimator!$J$12))+E36*(Estimator!$J$12/(Estimator!$J$11+Estimator!$J$12))</f>
        <v>4.8220812293141473E-3</v>
      </c>
      <c r="F39" s="33">
        <f>F35*(Estimator!$J$11/(Estimator!$J$11+Estimator!$J$12))+F36*(Estimator!$J$12/(Estimator!$J$11+Estimator!$J$12))</f>
        <v>2.2807140949458802E-3</v>
      </c>
      <c r="G39" s="43">
        <f>G35*(Estimator!$J$11/(Estimator!$J$11+Estimator!$J$12))+G36*(Estimator!$J$12/(Estimator!$J$11+Estimator!$J$12))</f>
        <v>3.4536527723466197E-4</v>
      </c>
      <c r="H39" s="42"/>
      <c r="I39" s="33"/>
      <c r="J39" s="50"/>
      <c r="K39" s="49"/>
      <c r="L39" s="49"/>
      <c r="M39" s="49"/>
      <c r="N39" s="14"/>
      <c r="O39" s="14"/>
    </row>
    <row r="40" spans="2:15" x14ac:dyDescent="0.2">
      <c r="B40" s="358"/>
      <c r="C40" s="363" t="s">
        <v>36</v>
      </c>
      <c r="D40" s="364"/>
      <c r="E40" s="86">
        <v>0.57199999999999995</v>
      </c>
      <c r="F40" s="59">
        <v>0.156</v>
      </c>
      <c r="G40" s="69">
        <v>1.7999999999999999E-2</v>
      </c>
      <c r="H40" s="68">
        <v>1.84E-2</v>
      </c>
      <c r="I40" s="59">
        <v>5.4999999999999997E-3</v>
      </c>
      <c r="J40" s="99">
        <v>8.9999999999999998E-4</v>
      </c>
      <c r="K40" s="49"/>
      <c r="L40" s="49"/>
      <c r="M40" s="49"/>
      <c r="N40" s="14"/>
      <c r="O40" s="14"/>
    </row>
    <row r="41" spans="2:15" ht="13.5" thickBot="1" x14ac:dyDescent="0.25">
      <c r="B41" s="358"/>
      <c r="C41" s="371" t="s">
        <v>29</v>
      </c>
      <c r="D41" s="372"/>
      <c r="E41" s="107">
        <v>1.1180000000000001</v>
      </c>
      <c r="F41" s="52">
        <v>0.31</v>
      </c>
      <c r="G41" s="53">
        <v>5.2999999999999999E-2</v>
      </c>
      <c r="H41" s="51">
        <v>9.8000000000000004E-2</v>
      </c>
      <c r="I41" s="54">
        <v>2.63E-2</v>
      </c>
      <c r="J41" s="55">
        <v>1.34E-3</v>
      </c>
      <c r="K41" s="49"/>
      <c r="L41" s="49"/>
      <c r="M41" s="49"/>
      <c r="N41" s="14"/>
      <c r="O41" s="14"/>
    </row>
    <row r="42" spans="2:15" ht="13.5" thickTop="1" x14ac:dyDescent="0.2">
      <c r="B42" s="12"/>
      <c r="C42" s="48"/>
      <c r="D42" s="49"/>
      <c r="E42" s="49" t="s">
        <v>82</v>
      </c>
      <c r="F42" s="49"/>
      <c r="G42" s="49"/>
      <c r="H42" s="49"/>
      <c r="I42" s="49"/>
      <c r="J42" s="49"/>
      <c r="K42" s="49"/>
      <c r="L42" s="49"/>
      <c r="M42" s="49"/>
      <c r="N42" s="14"/>
      <c r="O42" s="14"/>
    </row>
    <row r="43" spans="2:15" ht="13.5" thickBot="1" x14ac:dyDescent="0.25">
      <c r="B43" s="12"/>
      <c r="C43" s="109"/>
      <c r="D43" s="49"/>
      <c r="E43" s="49"/>
      <c r="F43" s="49"/>
      <c r="G43" s="49"/>
      <c r="H43" s="49"/>
      <c r="I43" s="49"/>
      <c r="J43" s="49"/>
      <c r="K43" s="49"/>
      <c r="L43" s="49"/>
      <c r="M43" s="49"/>
      <c r="N43" s="14"/>
      <c r="O43" s="14"/>
    </row>
    <row r="44" spans="2:15" ht="13.5" thickBot="1" x14ac:dyDescent="0.25">
      <c r="B44" s="369" t="s">
        <v>17</v>
      </c>
      <c r="C44" s="369"/>
      <c r="D44" s="74"/>
      <c r="E44" s="45"/>
      <c r="F44" s="45"/>
      <c r="G44" s="45"/>
      <c r="H44" s="45"/>
      <c r="I44" s="45"/>
      <c r="J44" s="45"/>
      <c r="K44" s="45"/>
      <c r="L44" s="45"/>
      <c r="M44" s="45"/>
      <c r="N44" s="14"/>
      <c r="O44" s="14"/>
    </row>
    <row r="45" spans="2:15" ht="13.5" thickBot="1" x14ac:dyDescent="0.25">
      <c r="B45" s="370" t="s">
        <v>59</v>
      </c>
      <c r="C45" s="370"/>
      <c r="D45" s="370"/>
      <c r="E45" s="45"/>
      <c r="F45" s="45"/>
      <c r="G45" s="45"/>
      <c r="H45" s="45"/>
      <c r="I45" s="45"/>
      <c r="J45" s="45"/>
      <c r="K45" s="45"/>
      <c r="L45" s="45"/>
      <c r="M45" s="45"/>
      <c r="N45" s="14"/>
      <c r="O45" s="14"/>
    </row>
    <row r="46" spans="2:15" x14ac:dyDescent="0.2">
      <c r="B46" s="12"/>
      <c r="C46" s="74"/>
      <c r="D46" s="74"/>
      <c r="E46" s="355" t="s">
        <v>5</v>
      </c>
      <c r="F46" s="356"/>
      <c r="G46" s="356"/>
      <c r="H46" s="356"/>
      <c r="I46" s="356"/>
      <c r="J46" s="356"/>
      <c r="K46" s="356"/>
      <c r="L46" s="356"/>
      <c r="M46" s="357"/>
      <c r="N46" s="12"/>
      <c r="O46" s="12"/>
    </row>
    <row r="47" spans="2:15" ht="13.5" thickBot="1" x14ac:dyDescent="0.25">
      <c r="B47" s="12"/>
      <c r="C47" s="73"/>
      <c r="D47" s="73"/>
      <c r="E47" s="76" t="s">
        <v>18</v>
      </c>
      <c r="F47" s="77" t="s">
        <v>19</v>
      </c>
      <c r="G47" s="77" t="s">
        <v>20</v>
      </c>
      <c r="H47" s="77" t="s">
        <v>21</v>
      </c>
      <c r="I47" s="77" t="s">
        <v>22</v>
      </c>
      <c r="J47" s="77" t="s">
        <v>23</v>
      </c>
      <c r="K47" s="77" t="s">
        <v>24</v>
      </c>
      <c r="L47" s="77" t="s">
        <v>25</v>
      </c>
      <c r="M47" s="79" t="s">
        <v>26</v>
      </c>
      <c r="N47" s="12"/>
      <c r="O47" s="12"/>
    </row>
    <row r="48" spans="2:15" ht="13.5" customHeight="1" thickTop="1" x14ac:dyDescent="0.2">
      <c r="B48" s="358" t="s">
        <v>91</v>
      </c>
      <c r="C48" s="361" t="s">
        <v>29</v>
      </c>
      <c r="D48" s="362"/>
      <c r="E48" s="93">
        <v>1.22E-5</v>
      </c>
      <c r="F48" s="94">
        <v>2.4400000000000001E-7</v>
      </c>
      <c r="G48" s="94">
        <v>3.4200000000000002E-8</v>
      </c>
      <c r="H48" s="94">
        <v>1.1399999999999999E-5</v>
      </c>
      <c r="I48" s="94">
        <v>3.6200000000000001E-6</v>
      </c>
      <c r="J48" s="94">
        <v>6.1199999999999997E-5</v>
      </c>
      <c r="K48" s="94">
        <v>1.19E-5</v>
      </c>
      <c r="L48" s="94">
        <v>3.8399999999999998E-5</v>
      </c>
      <c r="M48" s="108">
        <v>2.6199999999999999E-6</v>
      </c>
      <c r="N48" s="12"/>
      <c r="O48" s="12"/>
    </row>
    <row r="49" spans="2:15" ht="13.5" thickBot="1" x14ac:dyDescent="0.25">
      <c r="B49" s="358"/>
      <c r="C49" s="367" t="s">
        <v>121</v>
      </c>
      <c r="D49" s="368"/>
      <c r="E49" s="98">
        <v>8.3799999999999994E-6</v>
      </c>
      <c r="F49" s="89" t="s">
        <v>28</v>
      </c>
      <c r="G49" s="89">
        <v>1.18E-8</v>
      </c>
      <c r="H49" s="89">
        <v>1.42E-6</v>
      </c>
      <c r="I49" s="89">
        <v>3.8200000000000001E-7</v>
      </c>
      <c r="J49" s="89">
        <v>6.1199999999999997E-5</v>
      </c>
      <c r="K49" s="89">
        <v>3.2799999999999999E-6</v>
      </c>
      <c r="L49" s="89">
        <v>2.02E-5</v>
      </c>
      <c r="M49" s="90" t="s">
        <v>28</v>
      </c>
      <c r="N49" s="12"/>
      <c r="O49" s="12"/>
    </row>
    <row r="50" spans="2:15" ht="14.25" thickTop="1" thickBot="1" x14ac:dyDescent="0.25">
      <c r="B50" s="359"/>
      <c r="C50" s="110"/>
      <c r="D50" s="75"/>
      <c r="E50" s="56"/>
      <c r="F50" s="56"/>
      <c r="G50" s="56"/>
      <c r="H50" s="56"/>
      <c r="I50" s="56"/>
      <c r="J50" s="56"/>
      <c r="K50" s="56"/>
      <c r="L50" s="56"/>
      <c r="M50" s="114"/>
      <c r="N50" s="12"/>
      <c r="O50" s="12"/>
    </row>
    <row r="51" spans="2:15" x14ac:dyDescent="0.2">
      <c r="B51" s="359"/>
      <c r="C51" s="74"/>
      <c r="D51" s="74"/>
      <c r="E51" s="355" t="s">
        <v>6</v>
      </c>
      <c r="F51" s="356"/>
      <c r="G51" s="356"/>
      <c r="H51" s="356"/>
      <c r="I51" s="356"/>
      <c r="J51" s="356"/>
      <c r="K51" s="356"/>
      <c r="L51" s="356"/>
      <c r="M51" s="357"/>
      <c r="N51" s="12"/>
      <c r="O51" s="12"/>
    </row>
    <row r="52" spans="2:15" ht="13.5" thickBot="1" x14ac:dyDescent="0.25">
      <c r="B52" s="359"/>
      <c r="C52" s="73"/>
      <c r="D52" s="73"/>
      <c r="E52" s="115" t="s">
        <v>18</v>
      </c>
      <c r="F52" s="116" t="s">
        <v>19</v>
      </c>
      <c r="G52" s="116" t="s">
        <v>20</v>
      </c>
      <c r="H52" s="116" t="s">
        <v>21</v>
      </c>
      <c r="I52" s="116" t="s">
        <v>22</v>
      </c>
      <c r="J52" s="116" t="s">
        <v>23</v>
      </c>
      <c r="K52" s="116" t="s">
        <v>24</v>
      </c>
      <c r="L52" s="116" t="s">
        <v>25</v>
      </c>
      <c r="M52" s="117" t="s">
        <v>26</v>
      </c>
      <c r="N52" s="12"/>
      <c r="O52" s="12"/>
    </row>
    <row r="53" spans="2:15" ht="13.5" thickTop="1" x14ac:dyDescent="0.2">
      <c r="B53" s="358"/>
      <c r="C53" s="361" t="s">
        <v>27</v>
      </c>
      <c r="D53" s="362"/>
      <c r="E53" s="93">
        <v>4.2400000000000002E-9</v>
      </c>
      <c r="F53" s="94">
        <v>4.8599999999999998E-10</v>
      </c>
      <c r="G53" s="94" t="s">
        <v>28</v>
      </c>
      <c r="H53" s="94">
        <v>2.9000000000000002E-8</v>
      </c>
      <c r="I53" s="94">
        <v>1.09E-8</v>
      </c>
      <c r="J53" s="94">
        <v>1.17E-7</v>
      </c>
      <c r="K53" s="94">
        <v>4.1799999999999997E-8</v>
      </c>
      <c r="L53" s="111" t="s">
        <v>28</v>
      </c>
      <c r="M53" s="95" t="s">
        <v>28</v>
      </c>
      <c r="N53" s="12"/>
      <c r="O53" s="12"/>
    </row>
    <row r="54" spans="2:15" x14ac:dyDescent="0.2">
      <c r="B54" s="358"/>
      <c r="C54" s="363" t="s">
        <v>55</v>
      </c>
      <c r="D54" s="364"/>
      <c r="E54" s="96">
        <v>9.9999999999999995E-7</v>
      </c>
      <c r="F54" s="87">
        <v>9.0400000000000002E-8</v>
      </c>
      <c r="G54" s="87">
        <v>1.9799999999999999E-10</v>
      </c>
      <c r="H54" s="87">
        <v>1.22E-6</v>
      </c>
      <c r="I54" s="87">
        <v>5.2E-7</v>
      </c>
      <c r="J54" s="87">
        <v>2.5600000000000002E-7</v>
      </c>
      <c r="K54" s="87">
        <v>2.2800000000000002E-6</v>
      </c>
      <c r="L54" s="87">
        <v>3.54E-6</v>
      </c>
      <c r="M54" s="88">
        <v>7.24E-8</v>
      </c>
      <c r="N54" s="12"/>
      <c r="O54" s="12"/>
    </row>
    <row r="55" spans="2:15" x14ac:dyDescent="0.2">
      <c r="B55" s="358"/>
      <c r="C55" s="365" t="s">
        <v>29</v>
      </c>
      <c r="D55" s="366"/>
      <c r="E55" s="97">
        <v>6.0200000000000002E-7</v>
      </c>
      <c r="F55" s="46">
        <v>1.04E-7</v>
      </c>
      <c r="G55" s="46">
        <v>9.0599999999999997E-9</v>
      </c>
      <c r="H55" s="46">
        <v>4.0999999999999997E-6</v>
      </c>
      <c r="I55" s="46">
        <v>1.53E-6</v>
      </c>
      <c r="J55" s="46">
        <v>2.0800000000000001E-5</v>
      </c>
      <c r="K55" s="46">
        <v>4.78E-6</v>
      </c>
      <c r="L55" s="46">
        <v>1.2300000000000001E-5</v>
      </c>
      <c r="M55" s="47">
        <v>1.1300000000000001E-7</v>
      </c>
      <c r="N55" s="12"/>
      <c r="O55" s="12"/>
    </row>
    <row r="56" spans="2:15" ht="13.5" thickBot="1" x14ac:dyDescent="0.25">
      <c r="B56" s="358"/>
      <c r="C56" s="367" t="s">
        <v>121</v>
      </c>
      <c r="D56" s="368"/>
      <c r="E56" s="98">
        <v>2.96E-7</v>
      </c>
      <c r="F56" s="112" t="s">
        <v>28</v>
      </c>
      <c r="G56" s="89">
        <v>7.1000000000000003E-10</v>
      </c>
      <c r="H56" s="89">
        <v>1.2700000000000001E-7</v>
      </c>
      <c r="I56" s="89">
        <v>3.6599999999999997E-8</v>
      </c>
      <c r="J56" s="89">
        <v>3.7799999999999998E-6</v>
      </c>
      <c r="K56" s="89">
        <v>2.48E-7</v>
      </c>
      <c r="L56" s="89">
        <v>1.1999999999999999E-6</v>
      </c>
      <c r="M56" s="113" t="s">
        <v>28</v>
      </c>
      <c r="N56" s="12"/>
      <c r="O56" s="12"/>
    </row>
    <row r="57" spans="2:15" ht="13.5" thickTop="1" x14ac:dyDescent="0.2">
      <c r="B57" s="12"/>
      <c r="C57" s="12"/>
      <c r="D57" s="12"/>
      <c r="E57" s="12"/>
      <c r="F57" s="12"/>
      <c r="G57" s="12"/>
      <c r="H57" s="12"/>
      <c r="I57" s="12"/>
      <c r="J57" s="12"/>
      <c r="K57" s="12"/>
      <c r="L57" s="12"/>
      <c r="M57" s="12"/>
      <c r="N57" s="12"/>
      <c r="O57" s="12"/>
    </row>
    <row r="58" spans="2:15" x14ac:dyDescent="0.2">
      <c r="B58" s="12"/>
      <c r="C58" s="12"/>
      <c r="D58" s="12"/>
      <c r="E58" s="12"/>
      <c r="F58" s="12"/>
      <c r="G58" s="12"/>
      <c r="H58" s="12"/>
      <c r="I58" s="12"/>
      <c r="J58" s="12"/>
      <c r="K58" s="12"/>
      <c r="L58" s="12"/>
      <c r="M58" s="12"/>
      <c r="N58" s="12"/>
      <c r="O58" s="12"/>
    </row>
    <row r="59" spans="2:15" x14ac:dyDescent="0.2">
      <c r="B59" s="12"/>
      <c r="C59" s="12"/>
      <c r="D59" s="12"/>
      <c r="E59" s="12"/>
      <c r="F59" s="12"/>
      <c r="G59" s="12"/>
      <c r="H59" s="12"/>
      <c r="I59" s="12"/>
      <c r="J59" s="12"/>
      <c r="K59" s="12"/>
      <c r="L59" s="12"/>
      <c r="M59" s="12"/>
      <c r="N59" s="12"/>
      <c r="O59" s="12"/>
    </row>
    <row r="60" spans="2:15" x14ac:dyDescent="0.2">
      <c r="B60" s="12"/>
      <c r="C60" s="12"/>
      <c r="D60" s="12"/>
      <c r="E60" s="12"/>
      <c r="F60" s="12"/>
      <c r="G60" s="12"/>
      <c r="H60" s="12"/>
      <c r="I60" s="12"/>
      <c r="J60" s="12"/>
      <c r="K60" s="12"/>
      <c r="L60" s="12"/>
      <c r="M60" s="12"/>
      <c r="N60" s="12"/>
      <c r="O60" s="12"/>
    </row>
    <row r="61" spans="2:15" x14ac:dyDescent="0.2">
      <c r="B61" s="12"/>
      <c r="C61" s="12"/>
      <c r="D61" s="12"/>
      <c r="E61" s="12"/>
      <c r="F61" s="12"/>
      <c r="G61" s="12"/>
      <c r="H61" s="12"/>
      <c r="I61" s="12"/>
      <c r="J61" s="12"/>
      <c r="K61" s="12"/>
      <c r="L61" s="12"/>
      <c r="M61" s="12"/>
      <c r="N61" s="12"/>
      <c r="O61" s="12"/>
    </row>
    <row r="62" spans="2:15" x14ac:dyDescent="0.2">
      <c r="B62" s="12"/>
      <c r="C62" s="12"/>
      <c r="D62" s="12"/>
      <c r="E62" s="12"/>
      <c r="F62" s="12"/>
      <c r="G62" s="12"/>
      <c r="H62" s="12"/>
      <c r="I62" s="12"/>
      <c r="J62" s="12"/>
      <c r="K62" s="12"/>
      <c r="L62" s="12"/>
      <c r="M62" s="12"/>
      <c r="N62" s="12"/>
      <c r="O62" s="12"/>
    </row>
    <row r="63" spans="2:15" x14ac:dyDescent="0.2">
      <c r="B63" s="12"/>
      <c r="C63" s="12"/>
      <c r="D63" s="12"/>
      <c r="E63" s="12"/>
      <c r="F63" s="12"/>
      <c r="G63" s="12"/>
      <c r="H63" s="12"/>
      <c r="I63" s="12"/>
      <c r="J63" s="12"/>
      <c r="K63" s="12"/>
      <c r="L63" s="12"/>
      <c r="M63" s="12"/>
      <c r="N63" s="12"/>
      <c r="O63" s="12"/>
    </row>
    <row r="64" spans="2:15" x14ac:dyDescent="0.2">
      <c r="B64" s="12"/>
      <c r="C64" s="12"/>
      <c r="D64" s="12"/>
      <c r="E64" s="12"/>
      <c r="F64" s="12"/>
      <c r="G64" s="12"/>
      <c r="H64" s="12"/>
      <c r="I64" s="12"/>
      <c r="J64" s="12"/>
      <c r="K64" s="12"/>
      <c r="L64" s="12"/>
      <c r="M64" s="12"/>
      <c r="N64" s="12"/>
      <c r="O64" s="12"/>
    </row>
    <row r="65" spans="2:15" x14ac:dyDescent="0.2">
      <c r="B65" s="12"/>
      <c r="C65" s="12"/>
      <c r="D65" s="12"/>
      <c r="E65" s="12"/>
      <c r="F65" s="12"/>
      <c r="G65" s="12"/>
      <c r="H65" s="12"/>
      <c r="I65" s="12"/>
      <c r="J65" s="12"/>
      <c r="K65" s="12"/>
      <c r="L65" s="12"/>
      <c r="M65" s="12"/>
      <c r="N65" s="12"/>
      <c r="O65" s="12"/>
    </row>
    <row r="66" spans="2:15" x14ac:dyDescent="0.2">
      <c r="B66" s="12"/>
      <c r="C66" s="12"/>
      <c r="D66" s="12"/>
      <c r="E66" s="12"/>
      <c r="F66" s="12"/>
      <c r="G66" s="12"/>
      <c r="H66" s="12"/>
      <c r="I66" s="12"/>
      <c r="J66" s="12"/>
      <c r="K66" s="12"/>
      <c r="L66" s="12"/>
      <c r="M66" s="12"/>
      <c r="N66" s="12"/>
      <c r="O66" s="12"/>
    </row>
    <row r="67" spans="2:15" x14ac:dyDescent="0.2">
      <c r="B67" s="12"/>
      <c r="C67" s="12"/>
      <c r="D67" s="12"/>
      <c r="E67" s="12"/>
      <c r="F67" s="12"/>
      <c r="G67" s="12"/>
      <c r="H67" s="12"/>
      <c r="I67" s="12"/>
      <c r="J67" s="12"/>
      <c r="K67" s="12"/>
      <c r="L67" s="12"/>
      <c r="M67" s="12"/>
      <c r="N67" s="12"/>
      <c r="O67" s="12"/>
    </row>
    <row r="68" spans="2:15" x14ac:dyDescent="0.2">
      <c r="B68" s="12"/>
      <c r="C68" s="12"/>
      <c r="D68" s="12"/>
      <c r="E68" s="12"/>
      <c r="F68" s="12"/>
      <c r="G68" s="12"/>
      <c r="H68" s="12"/>
      <c r="I68" s="12"/>
      <c r="J68" s="12"/>
      <c r="K68" s="12"/>
      <c r="L68" s="12"/>
      <c r="M68" s="12"/>
      <c r="N68" s="12"/>
      <c r="O68" s="12"/>
    </row>
  </sheetData>
  <mergeCells count="58">
    <mergeCell ref="L6:L17"/>
    <mergeCell ref="H6:J6"/>
    <mergeCell ref="E6:G6"/>
    <mergeCell ref="G21:G22"/>
    <mergeCell ref="H21:H22"/>
    <mergeCell ref="C25:D25"/>
    <mergeCell ref="C14:D14"/>
    <mergeCell ref="C15:D15"/>
    <mergeCell ref="C16:D16"/>
    <mergeCell ref="B6:C6"/>
    <mergeCell ref="E46:M46"/>
    <mergeCell ref="E20:M20"/>
    <mergeCell ref="E33:G33"/>
    <mergeCell ref="H33:J33"/>
    <mergeCell ref="E21:E22"/>
    <mergeCell ref="F21:F22"/>
    <mergeCell ref="M21:M22"/>
    <mergeCell ref="J21:J22"/>
    <mergeCell ref="K21:K22"/>
    <mergeCell ref="L21:L22"/>
    <mergeCell ref="C13:D13"/>
    <mergeCell ref="C23:D23"/>
    <mergeCell ref="B8:B17"/>
    <mergeCell ref="C8:D8"/>
    <mergeCell ref="C9:D9"/>
    <mergeCell ref="C10:D10"/>
    <mergeCell ref="C11:D11"/>
    <mergeCell ref="C12:D12"/>
    <mergeCell ref="C17:D17"/>
    <mergeCell ref="B23:B26"/>
    <mergeCell ref="C36:D36"/>
    <mergeCell ref="I21:I22"/>
    <mergeCell ref="C26:D26"/>
    <mergeCell ref="B21:C21"/>
    <mergeCell ref="A30:C30"/>
    <mergeCell ref="B32:C32"/>
    <mergeCell ref="B33:D33"/>
    <mergeCell ref="C24:D24"/>
    <mergeCell ref="C37:D37"/>
    <mergeCell ref="C49:D49"/>
    <mergeCell ref="B44:C44"/>
    <mergeCell ref="B45:D45"/>
    <mergeCell ref="C41:D41"/>
    <mergeCell ref="B35:B41"/>
    <mergeCell ref="C38:D38"/>
    <mergeCell ref="C39:D39"/>
    <mergeCell ref="C40:D40"/>
    <mergeCell ref="C35:D35"/>
    <mergeCell ref="A1:M1"/>
    <mergeCell ref="A2:M2"/>
    <mergeCell ref="E51:M51"/>
    <mergeCell ref="B48:B56"/>
    <mergeCell ref="A3:M3"/>
    <mergeCell ref="C53:D53"/>
    <mergeCell ref="C54:D54"/>
    <mergeCell ref="C55:D55"/>
    <mergeCell ref="C56:D56"/>
    <mergeCell ref="C48:D48"/>
  </mergeCells>
  <phoneticPr fontId="2" type="noConversion"/>
  <pageMargins left="0.75" right="0.75" top="1" bottom="1" header="0.5" footer="0.5"/>
  <pageSetup scale="57" orientation="portrait" r:id="rId1"/>
  <headerFooter alignWithMargins="0">
    <oddHeader>&amp;REmission Factors - &amp;D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F45D-4E61-4EA2-A72A-4641DAA662B3}">
  <sheetPr>
    <pageSetUpPr fitToPage="1"/>
  </sheetPr>
  <dimension ref="A1:H21"/>
  <sheetViews>
    <sheetView zoomScaleNormal="100" workbookViewId="0">
      <selection activeCell="G20" sqref="G20"/>
    </sheetView>
  </sheetViews>
  <sheetFormatPr defaultRowHeight="12.75" x14ac:dyDescent="0.2"/>
  <cols>
    <col min="1" max="1" width="10.42578125" customWidth="1"/>
    <col min="2" max="2" width="22.140625" bestFit="1" customWidth="1"/>
    <col min="3" max="3" width="87.7109375" customWidth="1"/>
  </cols>
  <sheetData>
    <row r="1" spans="1:8" ht="20.25" x14ac:dyDescent="0.3">
      <c r="A1" s="405" t="s">
        <v>64</v>
      </c>
      <c r="B1" s="405"/>
      <c r="C1" s="405"/>
      <c r="D1" s="11"/>
      <c r="E1" s="11"/>
      <c r="F1" s="11"/>
      <c r="G1" s="11"/>
      <c r="H1" s="11"/>
    </row>
    <row r="3" spans="1:8" ht="13.5" thickBot="1" x14ac:dyDescent="0.25">
      <c r="A3" s="1" t="s">
        <v>65</v>
      </c>
    </row>
    <row r="4" spans="1:8" ht="14.25" thickTop="1" thickBot="1" x14ac:dyDescent="0.25">
      <c r="A4" s="6" t="s">
        <v>66</v>
      </c>
      <c r="B4" s="7" t="s">
        <v>67</v>
      </c>
      <c r="C4" s="8" t="s">
        <v>68</v>
      </c>
    </row>
    <row r="5" spans="1:8" x14ac:dyDescent="0.2">
      <c r="A5" s="410">
        <v>40674</v>
      </c>
      <c r="B5" s="409" t="s">
        <v>69</v>
      </c>
      <c r="C5" s="9" t="s">
        <v>70</v>
      </c>
    </row>
    <row r="6" spans="1:8" x14ac:dyDescent="0.2">
      <c r="A6" s="406"/>
      <c r="B6" s="407"/>
      <c r="C6" s="9" t="s">
        <v>75</v>
      </c>
    </row>
    <row r="7" spans="1:8" x14ac:dyDescent="0.2">
      <c r="A7" s="404"/>
      <c r="B7" s="408"/>
      <c r="C7" s="9" t="s">
        <v>76</v>
      </c>
    </row>
    <row r="8" spans="1:8" x14ac:dyDescent="0.2">
      <c r="A8" s="406">
        <v>40680</v>
      </c>
      <c r="B8" s="407" t="s">
        <v>69</v>
      </c>
      <c r="C8" s="9" t="s">
        <v>71</v>
      </c>
    </row>
    <row r="9" spans="1:8" x14ac:dyDescent="0.2">
      <c r="A9" s="406"/>
      <c r="B9" s="407"/>
      <c r="C9" s="9" t="s">
        <v>77</v>
      </c>
    </row>
    <row r="10" spans="1:8" x14ac:dyDescent="0.2">
      <c r="A10" s="406"/>
      <c r="B10" s="407"/>
      <c r="C10" s="10" t="s">
        <v>72</v>
      </c>
    </row>
    <row r="11" spans="1:8" x14ac:dyDescent="0.2">
      <c r="A11" s="404"/>
      <c r="B11" s="408"/>
      <c r="C11" s="10" t="s">
        <v>73</v>
      </c>
    </row>
    <row r="12" spans="1:8" x14ac:dyDescent="0.2">
      <c r="A12" s="403">
        <v>40707</v>
      </c>
      <c r="B12" s="401" t="s">
        <v>69</v>
      </c>
      <c r="C12" s="10" t="s">
        <v>78</v>
      </c>
    </row>
    <row r="13" spans="1:8" x14ac:dyDescent="0.2">
      <c r="A13" s="404"/>
      <c r="B13" s="402"/>
      <c r="C13" s="10" t="s">
        <v>79</v>
      </c>
    </row>
    <row r="14" spans="1:8" x14ac:dyDescent="0.2">
      <c r="A14" s="15">
        <v>40758</v>
      </c>
      <c r="B14" s="3" t="s">
        <v>69</v>
      </c>
      <c r="C14" s="5" t="s">
        <v>80</v>
      </c>
    </row>
    <row r="15" spans="1:8" x14ac:dyDescent="0.2">
      <c r="A15" s="16"/>
      <c r="B15" s="3"/>
      <c r="C15" s="5" t="s">
        <v>81</v>
      </c>
    </row>
    <row r="16" spans="1:8" x14ac:dyDescent="0.2">
      <c r="A16" s="15">
        <v>40784</v>
      </c>
      <c r="B16" s="3" t="s">
        <v>83</v>
      </c>
      <c r="C16" s="5" t="s">
        <v>84</v>
      </c>
    </row>
    <row r="17" spans="1:3" x14ac:dyDescent="0.2">
      <c r="A17" s="15">
        <v>40863</v>
      </c>
      <c r="B17" s="3" t="s">
        <v>83</v>
      </c>
      <c r="C17" s="5" t="s">
        <v>85</v>
      </c>
    </row>
    <row r="18" spans="1:3" x14ac:dyDescent="0.2">
      <c r="A18" s="15">
        <v>42072</v>
      </c>
      <c r="B18" s="3" t="s">
        <v>83</v>
      </c>
      <c r="C18" s="5" t="s">
        <v>127</v>
      </c>
    </row>
    <row r="19" spans="1:3" ht="13.5" thickBot="1" x14ac:dyDescent="0.25">
      <c r="A19" s="207">
        <v>42138</v>
      </c>
      <c r="B19" s="206" t="s">
        <v>83</v>
      </c>
      <c r="C19" s="255" t="s">
        <v>129</v>
      </c>
    </row>
    <row r="20" spans="1:3" ht="14.25" thickTop="1" thickBot="1" x14ac:dyDescent="0.25">
      <c r="A20" s="252">
        <v>44907</v>
      </c>
      <c r="B20" s="253" t="s">
        <v>138</v>
      </c>
      <c r="C20" s="254" t="s">
        <v>137</v>
      </c>
    </row>
    <row r="21" spans="1:3" ht="13.5" thickTop="1" x14ac:dyDescent="0.2"/>
  </sheetData>
  <mergeCells count="7">
    <mergeCell ref="B12:B13"/>
    <mergeCell ref="A12:A13"/>
    <mergeCell ref="A1:C1"/>
    <mergeCell ref="A8:A11"/>
    <mergeCell ref="B8:B11"/>
    <mergeCell ref="B5:B7"/>
    <mergeCell ref="A5:A7"/>
  </mergeCells>
  <phoneticPr fontId="6" type="noConversion"/>
  <pageMargins left="0.7" right="0.7" top="0.75" bottom="0.75" header="0.3" footer="0.3"/>
  <pageSetup scale="49" orientation="portrait" horizontalDpi="1200" verticalDpi="1200" r:id="rId1"/>
  <headerFooter>
    <oddHeader>&amp;RRevisions - &amp;D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Estimator</vt:lpstr>
      <vt:lpstr>Emission Factors</vt:lpstr>
      <vt:lpstr>Revisions</vt:lpstr>
      <vt:lpstr>'Emission Factors'!Print_Area</vt:lpstr>
      <vt:lpstr>Estimator!Print_Area</vt:lpstr>
    </vt:vector>
  </TitlesOfParts>
  <Company>SC 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Nicholas R. Gathings</cp:lastModifiedBy>
  <cp:lastPrinted>2015-03-06T17:09:13Z</cp:lastPrinted>
  <dcterms:created xsi:type="dcterms:W3CDTF">2008-03-05T19:56:39Z</dcterms:created>
  <dcterms:modified xsi:type="dcterms:W3CDTF">2025-10-20T20:33:58Z</dcterms:modified>
</cp:coreProperties>
</file>